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еню" sheetId="1" r:id="rId1"/>
    <sheet name="Лист2" sheetId="2" r:id="rId2"/>
    <sheet name="титул" sheetId="3" r:id="rId3"/>
  </sheets>
  <calcPr calcId="152511" concurrentCalc="0"/>
</workbook>
</file>

<file path=xl/calcChain.xml><?xml version="1.0" encoding="utf-8"?>
<calcChain xmlns="http://schemas.openxmlformats.org/spreadsheetml/2006/main">
  <c r="D380" i="1" l="1"/>
  <c r="E380" i="1"/>
  <c r="F380" i="1"/>
  <c r="G380" i="1"/>
  <c r="H380" i="1"/>
  <c r="I380" i="1"/>
  <c r="J380" i="1"/>
  <c r="K380" i="1"/>
  <c r="M380" i="1"/>
  <c r="N380" i="1"/>
  <c r="O380" i="1"/>
  <c r="P380" i="1"/>
  <c r="Q380" i="1"/>
  <c r="Q403" i="1"/>
  <c r="Q401" i="1"/>
  <c r="Q397" i="1"/>
  <c r="Q398" i="1"/>
  <c r="Q399" i="1"/>
  <c r="Q395" i="1"/>
  <c r="Q390" i="1"/>
  <c r="Q391" i="1"/>
  <c r="Q392" i="1"/>
  <c r="Q393" i="1"/>
  <c r="Q384" i="1"/>
  <c r="Q385" i="1"/>
  <c r="Q386" i="1"/>
  <c r="Q387" i="1"/>
  <c r="Q388" i="1"/>
  <c r="Q381" i="1"/>
  <c r="Q382" i="1"/>
  <c r="Q405" i="1"/>
  <c r="E403" i="1"/>
  <c r="E401" i="1"/>
  <c r="P401" i="1"/>
  <c r="O401" i="1"/>
  <c r="N401" i="1"/>
  <c r="M401" i="1"/>
  <c r="K401" i="1"/>
  <c r="J401" i="1"/>
  <c r="I401" i="1"/>
  <c r="G401" i="1"/>
  <c r="F401" i="1"/>
  <c r="E397" i="1"/>
  <c r="P397" i="1"/>
  <c r="P398" i="1"/>
  <c r="P399" i="1"/>
  <c r="O397" i="1"/>
  <c r="O399" i="1"/>
  <c r="N397" i="1"/>
  <c r="N399" i="1"/>
  <c r="M397" i="1"/>
  <c r="M398" i="1"/>
  <c r="M399" i="1"/>
  <c r="L399" i="1"/>
  <c r="K397" i="1"/>
  <c r="K399" i="1"/>
  <c r="J397" i="1"/>
  <c r="J399" i="1"/>
  <c r="I397" i="1"/>
  <c r="I398" i="1"/>
  <c r="I399" i="1"/>
  <c r="H397" i="1"/>
  <c r="H398" i="1"/>
  <c r="H399" i="1"/>
  <c r="G399" i="1"/>
  <c r="F397" i="1"/>
  <c r="F399" i="1"/>
  <c r="D399" i="1"/>
  <c r="C399" i="1"/>
  <c r="P395" i="1"/>
  <c r="O395" i="1"/>
  <c r="N395" i="1"/>
  <c r="M395" i="1"/>
  <c r="J395" i="1"/>
  <c r="I395" i="1"/>
  <c r="H395" i="1"/>
  <c r="G395" i="1"/>
  <c r="F395" i="1"/>
  <c r="D390" i="1"/>
  <c r="E390" i="1"/>
  <c r="P390" i="1"/>
  <c r="D391" i="1"/>
  <c r="E391" i="1"/>
  <c r="P391" i="1"/>
  <c r="P393" i="1"/>
  <c r="O390" i="1"/>
  <c r="O391" i="1"/>
  <c r="O393" i="1"/>
  <c r="N390" i="1"/>
  <c r="N391" i="1"/>
  <c r="N393" i="1"/>
  <c r="M390" i="1"/>
  <c r="M391" i="1"/>
  <c r="M393" i="1"/>
  <c r="L393" i="1"/>
  <c r="K390" i="1"/>
  <c r="K391" i="1"/>
  <c r="K393" i="1"/>
  <c r="J390" i="1"/>
  <c r="J391" i="1"/>
  <c r="J392" i="1"/>
  <c r="J393" i="1"/>
  <c r="I390" i="1"/>
  <c r="I391" i="1"/>
  <c r="I392" i="1"/>
  <c r="I393" i="1"/>
  <c r="H390" i="1"/>
  <c r="H391" i="1"/>
  <c r="H393" i="1"/>
  <c r="G390" i="1"/>
  <c r="G391" i="1"/>
  <c r="G392" i="1"/>
  <c r="G393" i="1"/>
  <c r="F390" i="1"/>
  <c r="F391" i="1"/>
  <c r="F393" i="1"/>
  <c r="E393" i="1"/>
  <c r="D393" i="1"/>
  <c r="C393" i="1"/>
  <c r="D384" i="1"/>
  <c r="E384" i="1"/>
  <c r="P384" i="1"/>
  <c r="E385" i="1"/>
  <c r="P385" i="1"/>
  <c r="D386" i="1"/>
  <c r="E386" i="1"/>
  <c r="P386" i="1"/>
  <c r="P388" i="1"/>
  <c r="O384" i="1"/>
  <c r="O385" i="1"/>
  <c r="O386" i="1"/>
  <c r="O388" i="1"/>
  <c r="N384" i="1"/>
  <c r="N385" i="1"/>
  <c r="N386" i="1"/>
  <c r="N388" i="1"/>
  <c r="M384" i="1"/>
  <c r="M385" i="1"/>
  <c r="M386" i="1"/>
  <c r="M388" i="1"/>
  <c r="L388" i="1"/>
  <c r="K385" i="1"/>
  <c r="K386" i="1"/>
  <c r="K388" i="1"/>
  <c r="J384" i="1"/>
  <c r="J385" i="1"/>
  <c r="J386" i="1"/>
  <c r="E387" i="1"/>
  <c r="J387" i="1"/>
  <c r="J388" i="1"/>
  <c r="I384" i="1"/>
  <c r="I385" i="1"/>
  <c r="I386" i="1"/>
  <c r="I387" i="1"/>
  <c r="I388" i="1"/>
  <c r="H385" i="1"/>
  <c r="H386" i="1"/>
  <c r="H388" i="1"/>
  <c r="G384" i="1"/>
  <c r="G385" i="1"/>
  <c r="G387" i="1"/>
  <c r="G388" i="1"/>
  <c r="F384" i="1"/>
  <c r="F385" i="1"/>
  <c r="F386" i="1"/>
  <c r="F388" i="1"/>
  <c r="E388" i="1"/>
  <c r="D388" i="1"/>
  <c r="C388" i="1"/>
  <c r="E381" i="1"/>
  <c r="P381" i="1"/>
  <c r="P382" i="1"/>
  <c r="O381" i="1"/>
  <c r="O382" i="1"/>
  <c r="N381" i="1"/>
  <c r="N382" i="1"/>
  <c r="M381" i="1"/>
  <c r="M382" i="1"/>
  <c r="L381" i="1"/>
  <c r="L382" i="1"/>
  <c r="K382" i="1"/>
  <c r="J382" i="1"/>
  <c r="I381" i="1"/>
  <c r="I382" i="1"/>
  <c r="H381" i="1"/>
  <c r="H382" i="1"/>
  <c r="G381" i="1"/>
  <c r="G382" i="1"/>
  <c r="F381" i="1"/>
  <c r="F382" i="1"/>
  <c r="E382" i="1"/>
  <c r="D382" i="1"/>
  <c r="C382" i="1"/>
  <c r="D112" i="1"/>
  <c r="E112" i="1"/>
  <c r="F112" i="1"/>
  <c r="G112" i="1"/>
  <c r="H112" i="1"/>
  <c r="I112" i="1"/>
  <c r="J112" i="1"/>
  <c r="K112" i="1"/>
  <c r="M112" i="1"/>
  <c r="N112" i="1"/>
  <c r="O112" i="1"/>
  <c r="P112" i="1"/>
  <c r="Q112" i="1"/>
  <c r="E113" i="1"/>
  <c r="F113" i="1"/>
  <c r="G113" i="1"/>
  <c r="H113" i="1"/>
  <c r="I113" i="1"/>
  <c r="L113" i="1"/>
  <c r="M113" i="1"/>
  <c r="N113" i="1"/>
  <c r="O113" i="1"/>
  <c r="P113" i="1"/>
  <c r="Q113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G116" i="1"/>
  <c r="I116" i="1"/>
  <c r="J116" i="1"/>
  <c r="Q116" i="1"/>
  <c r="D117" i="1"/>
  <c r="F117" i="1"/>
  <c r="G117" i="1"/>
  <c r="H117" i="1"/>
  <c r="I117" i="1"/>
  <c r="J117" i="1"/>
  <c r="L117" i="1"/>
  <c r="M117" i="1"/>
  <c r="N117" i="1"/>
  <c r="O117" i="1"/>
  <c r="P117" i="1"/>
  <c r="Q117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D123" i="1"/>
  <c r="E123" i="1"/>
  <c r="F123" i="1"/>
  <c r="G123" i="1"/>
  <c r="H123" i="1"/>
  <c r="I123" i="1"/>
  <c r="J123" i="1"/>
  <c r="K123" i="1"/>
  <c r="M123" i="1"/>
  <c r="N123" i="1"/>
  <c r="O123" i="1"/>
  <c r="P123" i="1"/>
  <c r="Q123" i="1"/>
  <c r="E124" i="1"/>
  <c r="F124" i="1"/>
  <c r="G124" i="1"/>
  <c r="H124" i="1"/>
  <c r="I124" i="1"/>
  <c r="J124" i="1"/>
  <c r="K124" i="1"/>
  <c r="M124" i="1"/>
  <c r="N124" i="1"/>
  <c r="O124" i="1"/>
  <c r="P124" i="1"/>
  <c r="Q124" i="1"/>
  <c r="G125" i="1"/>
  <c r="I125" i="1"/>
  <c r="J125" i="1"/>
  <c r="Q125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F128" i="1"/>
  <c r="G128" i="1"/>
  <c r="H128" i="1"/>
  <c r="I128" i="1"/>
  <c r="J128" i="1"/>
  <c r="M128" i="1"/>
  <c r="N128" i="1"/>
  <c r="O128" i="1"/>
  <c r="P128" i="1"/>
  <c r="Q128" i="1"/>
  <c r="F130" i="1"/>
  <c r="H130" i="1"/>
  <c r="I130" i="1"/>
  <c r="J130" i="1"/>
  <c r="K130" i="1"/>
  <c r="M130" i="1"/>
  <c r="N130" i="1"/>
  <c r="O130" i="1"/>
  <c r="P130" i="1"/>
  <c r="Q130" i="1"/>
  <c r="H131" i="1"/>
  <c r="I131" i="1"/>
  <c r="M131" i="1"/>
  <c r="P131" i="1"/>
  <c r="Q131" i="1"/>
  <c r="D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E134" i="1"/>
  <c r="F134" i="1"/>
  <c r="G134" i="1"/>
  <c r="H134" i="1"/>
  <c r="I134" i="1"/>
  <c r="J134" i="1"/>
  <c r="K134" i="1"/>
  <c r="M134" i="1"/>
  <c r="N134" i="1"/>
  <c r="O134" i="1"/>
  <c r="P134" i="1"/>
  <c r="Q134" i="1"/>
  <c r="E136" i="1"/>
  <c r="Q136" i="1"/>
  <c r="Q138" i="1"/>
  <c r="Q352" i="1"/>
  <c r="D352" i="1"/>
  <c r="E352" i="1"/>
  <c r="P352" i="1"/>
  <c r="O352" i="1"/>
  <c r="N352" i="1"/>
  <c r="M352" i="1"/>
  <c r="J352" i="1"/>
  <c r="I352" i="1"/>
  <c r="G352" i="1"/>
  <c r="F352" i="1"/>
  <c r="Q283" i="1"/>
  <c r="D283" i="1"/>
  <c r="E283" i="1"/>
  <c r="P283" i="1"/>
  <c r="O283" i="1"/>
  <c r="N283" i="1"/>
  <c r="M283" i="1"/>
  <c r="J283" i="1"/>
  <c r="I283" i="1"/>
  <c r="G283" i="1"/>
  <c r="F283" i="1"/>
  <c r="E287" i="1"/>
  <c r="E284" i="1"/>
  <c r="D285" i="1"/>
  <c r="E285" i="1"/>
  <c r="E286" i="1"/>
  <c r="E288" i="1"/>
  <c r="C294" i="1"/>
  <c r="C150" i="1"/>
  <c r="D146" i="1"/>
  <c r="E146" i="1"/>
  <c r="D147" i="1"/>
  <c r="E147" i="1"/>
  <c r="E148" i="1"/>
  <c r="E150" i="1"/>
  <c r="Q154" i="1"/>
  <c r="Q153" i="1"/>
  <c r="Q152" i="1"/>
  <c r="Q155" i="1"/>
  <c r="Q156" i="1"/>
  <c r="Q146" i="1"/>
  <c r="Q147" i="1"/>
  <c r="Q149" i="1"/>
  <c r="Q148" i="1"/>
  <c r="Q150" i="1"/>
  <c r="Q166" i="1"/>
  <c r="Q164" i="1"/>
  <c r="Q160" i="1"/>
  <c r="Q161" i="1"/>
  <c r="Q162" i="1"/>
  <c r="Q158" i="1"/>
  <c r="Q168" i="1"/>
  <c r="P146" i="1"/>
  <c r="O146" i="1"/>
  <c r="N146" i="1"/>
  <c r="M146" i="1"/>
  <c r="K146" i="1"/>
  <c r="J146" i="1"/>
  <c r="I146" i="1"/>
  <c r="H146" i="1"/>
  <c r="G146" i="1"/>
  <c r="F146" i="1"/>
  <c r="Q353" i="1"/>
  <c r="Q354" i="1"/>
  <c r="Q355" i="1"/>
  <c r="Q356" i="1"/>
  <c r="Q357" i="1"/>
  <c r="Q358" i="1"/>
  <c r="Q359" i="1"/>
  <c r="Q346" i="1"/>
  <c r="Q347" i="1"/>
  <c r="Q348" i="1"/>
  <c r="Q349" i="1"/>
  <c r="Q364" i="1"/>
  <c r="Q366" i="1"/>
  <c r="Q367" i="1"/>
  <c r="Q368" i="1"/>
  <c r="Q370" i="1"/>
  <c r="Q372" i="1"/>
  <c r="Q374" i="1"/>
  <c r="Q345" i="1"/>
  <c r="E345" i="1"/>
  <c r="P345" i="1"/>
  <c r="O345" i="1"/>
  <c r="N345" i="1"/>
  <c r="M345" i="1"/>
  <c r="K345" i="1"/>
  <c r="J345" i="1"/>
  <c r="I345" i="1"/>
  <c r="H345" i="1"/>
  <c r="G345" i="1"/>
  <c r="F345" i="1"/>
  <c r="D347" i="1"/>
  <c r="E347" i="1"/>
  <c r="P347" i="1"/>
  <c r="O347" i="1"/>
  <c r="N347" i="1"/>
  <c r="M347" i="1"/>
  <c r="K347" i="1"/>
  <c r="J347" i="1"/>
  <c r="I347" i="1"/>
  <c r="H347" i="1"/>
  <c r="G347" i="1"/>
  <c r="F347" i="1"/>
  <c r="C349" i="1"/>
  <c r="D346" i="1"/>
  <c r="D349" i="1"/>
  <c r="E346" i="1"/>
  <c r="E349" i="1"/>
  <c r="F346" i="1"/>
  <c r="F349" i="1"/>
  <c r="G346" i="1"/>
  <c r="G348" i="1"/>
  <c r="G349" i="1"/>
  <c r="H346" i="1"/>
  <c r="H349" i="1"/>
  <c r="I346" i="1"/>
  <c r="I348" i="1"/>
  <c r="I349" i="1"/>
  <c r="J346" i="1"/>
  <c r="J348" i="1"/>
  <c r="J349" i="1"/>
  <c r="K346" i="1"/>
  <c r="K349" i="1"/>
  <c r="L349" i="1"/>
  <c r="M346" i="1"/>
  <c r="M349" i="1"/>
  <c r="N346" i="1"/>
  <c r="N349" i="1"/>
  <c r="O346" i="1"/>
  <c r="O349" i="1"/>
  <c r="P346" i="1"/>
  <c r="P349" i="1"/>
  <c r="Q351" i="1"/>
  <c r="D351" i="1"/>
  <c r="E351" i="1"/>
  <c r="P351" i="1"/>
  <c r="O351" i="1"/>
  <c r="N351" i="1"/>
  <c r="M351" i="1"/>
  <c r="K351" i="1"/>
  <c r="J351" i="1"/>
  <c r="I351" i="1"/>
  <c r="H351" i="1"/>
  <c r="F351" i="1"/>
  <c r="D356" i="1"/>
  <c r="E356" i="1"/>
  <c r="P356" i="1"/>
  <c r="O356" i="1"/>
  <c r="N356" i="1"/>
  <c r="M356" i="1"/>
  <c r="K356" i="1"/>
  <c r="J356" i="1"/>
  <c r="I356" i="1"/>
  <c r="H356" i="1"/>
  <c r="G356" i="1"/>
  <c r="F356" i="1"/>
  <c r="D355" i="1"/>
  <c r="E355" i="1"/>
  <c r="P355" i="1"/>
  <c r="O355" i="1"/>
  <c r="N355" i="1"/>
  <c r="M355" i="1"/>
  <c r="K355" i="1"/>
  <c r="J355" i="1"/>
  <c r="I355" i="1"/>
  <c r="H355" i="1"/>
  <c r="G355" i="1"/>
  <c r="F355" i="1"/>
  <c r="D354" i="1"/>
  <c r="E354" i="1"/>
  <c r="P354" i="1"/>
  <c r="O354" i="1"/>
  <c r="N354" i="1"/>
  <c r="M354" i="1"/>
  <c r="K354" i="1"/>
  <c r="J354" i="1"/>
  <c r="I354" i="1"/>
  <c r="H354" i="1"/>
  <c r="G354" i="1"/>
  <c r="F354" i="1"/>
  <c r="Q249" i="1"/>
  <c r="Q179" i="1"/>
  <c r="Q180" i="1"/>
  <c r="Q181" i="1"/>
  <c r="Q186" i="1"/>
  <c r="Q187" i="1"/>
  <c r="Q188" i="1"/>
  <c r="Q189" i="1"/>
  <c r="Q190" i="1"/>
  <c r="Q198" i="1"/>
  <c r="Q200" i="1"/>
  <c r="Q194" i="1"/>
  <c r="Q195" i="1"/>
  <c r="Q196" i="1"/>
  <c r="Q192" i="1"/>
  <c r="Q183" i="1"/>
  <c r="Q184" i="1"/>
  <c r="Q202" i="1"/>
  <c r="Q232" i="1"/>
  <c r="Q230" i="1"/>
  <c r="Q226" i="1"/>
  <c r="Q227" i="1"/>
  <c r="Q228" i="1"/>
  <c r="Q224" i="1"/>
  <c r="Q221" i="1"/>
  <c r="Q222" i="1"/>
  <c r="Q217" i="1"/>
  <c r="Q218" i="1"/>
  <c r="Q219" i="1"/>
  <c r="Q211" i="1"/>
  <c r="Q212" i="1"/>
  <c r="Q213" i="1"/>
  <c r="Q214" i="1"/>
  <c r="Q215" i="1"/>
  <c r="Q234" i="1"/>
  <c r="P183" i="1"/>
  <c r="P184" i="1"/>
  <c r="O183" i="1"/>
  <c r="O184" i="1"/>
  <c r="N183" i="1"/>
  <c r="N184" i="1"/>
  <c r="M183" i="1"/>
  <c r="M184" i="1"/>
  <c r="L183" i="1"/>
  <c r="L184" i="1"/>
  <c r="K184" i="1"/>
  <c r="J183" i="1"/>
  <c r="J184" i="1"/>
  <c r="I183" i="1"/>
  <c r="I184" i="1"/>
  <c r="H183" i="1"/>
  <c r="H184" i="1"/>
  <c r="G183" i="1"/>
  <c r="G184" i="1"/>
  <c r="F183" i="1"/>
  <c r="F184" i="1"/>
  <c r="C184" i="1"/>
  <c r="D183" i="1"/>
  <c r="D184" i="1"/>
  <c r="E184" i="1"/>
  <c r="D153" i="1"/>
  <c r="E153" i="1"/>
  <c r="P153" i="1"/>
  <c r="O153" i="1"/>
  <c r="N153" i="1"/>
  <c r="M153" i="1"/>
  <c r="J153" i="1"/>
  <c r="I153" i="1"/>
  <c r="G153" i="1"/>
  <c r="F153" i="1"/>
  <c r="E218" i="1"/>
  <c r="F218" i="1"/>
  <c r="G218" i="1"/>
  <c r="H218" i="1"/>
  <c r="I218" i="1"/>
  <c r="L218" i="1"/>
  <c r="M218" i="1"/>
  <c r="N218" i="1"/>
  <c r="O218" i="1"/>
  <c r="P218" i="1"/>
  <c r="C359" i="1"/>
  <c r="C281" i="1"/>
  <c r="C156" i="1"/>
  <c r="C91" i="1"/>
  <c r="C58" i="1"/>
  <c r="Q259" i="1"/>
  <c r="E259" i="1"/>
  <c r="P259" i="1"/>
  <c r="O259" i="1"/>
  <c r="N259" i="1"/>
  <c r="M259" i="1"/>
  <c r="K259" i="1"/>
  <c r="J259" i="1"/>
  <c r="I259" i="1"/>
  <c r="H259" i="1"/>
  <c r="G259" i="1"/>
  <c r="F259" i="1"/>
  <c r="E102" i="1"/>
  <c r="P102" i="1"/>
  <c r="O102" i="1"/>
  <c r="N102" i="1"/>
  <c r="M102" i="1"/>
  <c r="K102" i="1"/>
  <c r="J102" i="1"/>
  <c r="I102" i="1"/>
  <c r="H102" i="1"/>
  <c r="G102" i="1"/>
  <c r="F102" i="1"/>
  <c r="Q331" i="1"/>
  <c r="E331" i="1"/>
  <c r="I331" i="1"/>
  <c r="H331" i="1"/>
  <c r="G331" i="1"/>
  <c r="F331" i="1"/>
  <c r="E230" i="1"/>
  <c r="I230" i="1"/>
  <c r="H230" i="1"/>
  <c r="G230" i="1"/>
  <c r="F230" i="1"/>
  <c r="E164" i="1"/>
  <c r="I164" i="1"/>
  <c r="H164" i="1"/>
  <c r="G164" i="1"/>
  <c r="F164" i="1"/>
  <c r="E296" i="1"/>
  <c r="Q296" i="1"/>
  <c r="P296" i="1"/>
  <c r="O296" i="1"/>
  <c r="N296" i="1"/>
  <c r="M296" i="1"/>
  <c r="K296" i="1"/>
  <c r="J296" i="1"/>
  <c r="I296" i="1"/>
  <c r="H296" i="1"/>
  <c r="G296" i="1"/>
  <c r="F296" i="1"/>
  <c r="E353" i="1"/>
  <c r="P353" i="1"/>
  <c r="O353" i="1"/>
  <c r="N353" i="1"/>
  <c r="M353" i="1"/>
  <c r="K353" i="1"/>
  <c r="J353" i="1"/>
  <c r="I353" i="1"/>
  <c r="H353" i="1"/>
  <c r="F353" i="1"/>
  <c r="D358" i="1"/>
  <c r="E358" i="1"/>
  <c r="P358" i="1"/>
  <c r="O358" i="1"/>
  <c r="N358" i="1"/>
  <c r="M358" i="1"/>
  <c r="K358" i="1"/>
  <c r="J358" i="1"/>
  <c r="I358" i="1"/>
  <c r="H358" i="1"/>
  <c r="G358" i="1"/>
  <c r="F358" i="1"/>
  <c r="E372" i="1"/>
  <c r="E370" i="1"/>
  <c r="P370" i="1"/>
  <c r="O370" i="1"/>
  <c r="N370" i="1"/>
  <c r="M370" i="1"/>
  <c r="K370" i="1"/>
  <c r="J370" i="1"/>
  <c r="I370" i="1"/>
  <c r="H370" i="1"/>
  <c r="G370" i="1"/>
  <c r="F370" i="1"/>
  <c r="P366" i="1"/>
  <c r="P367" i="1"/>
  <c r="P368" i="1"/>
  <c r="O366" i="1"/>
  <c r="O368" i="1"/>
  <c r="N366" i="1"/>
  <c r="N368" i="1"/>
  <c r="M366" i="1"/>
  <c r="M367" i="1"/>
  <c r="M368" i="1"/>
  <c r="L368" i="1"/>
  <c r="K366" i="1"/>
  <c r="K368" i="1"/>
  <c r="J366" i="1"/>
  <c r="J368" i="1"/>
  <c r="I366" i="1"/>
  <c r="I367" i="1"/>
  <c r="I368" i="1"/>
  <c r="H366" i="1"/>
  <c r="H367" i="1"/>
  <c r="H368" i="1"/>
  <c r="G368" i="1"/>
  <c r="F366" i="1"/>
  <c r="F368" i="1"/>
  <c r="D368" i="1"/>
  <c r="P364" i="1"/>
  <c r="O364" i="1"/>
  <c r="N364" i="1"/>
  <c r="M364" i="1"/>
  <c r="J364" i="1"/>
  <c r="I364" i="1"/>
  <c r="H364" i="1"/>
  <c r="G364" i="1"/>
  <c r="F364" i="1"/>
  <c r="P359" i="1"/>
  <c r="O359" i="1"/>
  <c r="N359" i="1"/>
  <c r="M359" i="1"/>
  <c r="L359" i="1"/>
  <c r="K359" i="1"/>
  <c r="E357" i="1"/>
  <c r="J357" i="1"/>
  <c r="J359" i="1"/>
  <c r="I357" i="1"/>
  <c r="I359" i="1"/>
  <c r="H359" i="1"/>
  <c r="G357" i="1"/>
  <c r="G359" i="1"/>
  <c r="F359" i="1"/>
  <c r="D359" i="1"/>
  <c r="Q320" i="1"/>
  <c r="Q321" i="1"/>
  <c r="Q322" i="1"/>
  <c r="Q323" i="1"/>
  <c r="Q313" i="1"/>
  <c r="Q314" i="1"/>
  <c r="Q315" i="1"/>
  <c r="Q316" i="1"/>
  <c r="Q333" i="1"/>
  <c r="Q325" i="1"/>
  <c r="Q327" i="1"/>
  <c r="Q329" i="1"/>
  <c r="Q335" i="1"/>
  <c r="E329" i="1"/>
  <c r="P329" i="1"/>
  <c r="O329" i="1"/>
  <c r="N329" i="1"/>
  <c r="M329" i="1"/>
  <c r="L329" i="1"/>
  <c r="J329" i="1"/>
  <c r="I329" i="1"/>
  <c r="H329" i="1"/>
  <c r="G329" i="1"/>
  <c r="F329" i="1"/>
  <c r="K329" i="1"/>
  <c r="E327" i="1"/>
  <c r="P327" i="1"/>
  <c r="O327" i="1"/>
  <c r="N327" i="1"/>
  <c r="M327" i="1"/>
  <c r="L327" i="1"/>
  <c r="K327" i="1"/>
  <c r="J327" i="1"/>
  <c r="I327" i="1"/>
  <c r="H327" i="1"/>
  <c r="G327" i="1"/>
  <c r="F327" i="1"/>
  <c r="E322" i="1"/>
  <c r="P322" i="1"/>
  <c r="O322" i="1"/>
  <c r="N322" i="1"/>
  <c r="M322" i="1"/>
  <c r="L322" i="1"/>
  <c r="J322" i="1"/>
  <c r="I322" i="1"/>
  <c r="H322" i="1"/>
  <c r="G322" i="1"/>
  <c r="F322" i="1"/>
  <c r="E321" i="1"/>
  <c r="P321" i="1"/>
  <c r="M321" i="1"/>
  <c r="I321" i="1"/>
  <c r="H321" i="1"/>
  <c r="E320" i="1"/>
  <c r="P320" i="1"/>
  <c r="O320" i="1"/>
  <c r="N320" i="1"/>
  <c r="M320" i="1"/>
  <c r="L320" i="1"/>
  <c r="K320" i="1"/>
  <c r="J320" i="1"/>
  <c r="I320" i="1"/>
  <c r="H320" i="1"/>
  <c r="G320" i="1"/>
  <c r="F320" i="1"/>
  <c r="E315" i="1"/>
  <c r="E313" i="1"/>
  <c r="P313" i="1"/>
  <c r="O313" i="1"/>
  <c r="N313" i="1"/>
  <c r="M313" i="1"/>
  <c r="L313" i="1"/>
  <c r="K313" i="1"/>
  <c r="J313" i="1"/>
  <c r="I313" i="1"/>
  <c r="H313" i="1"/>
  <c r="G313" i="1"/>
  <c r="F313" i="1"/>
  <c r="E314" i="1"/>
  <c r="P314" i="1"/>
  <c r="O314" i="1"/>
  <c r="N314" i="1"/>
  <c r="M314" i="1"/>
  <c r="J314" i="1"/>
  <c r="I314" i="1"/>
  <c r="H314" i="1"/>
  <c r="G314" i="1"/>
  <c r="F314" i="1"/>
  <c r="E333" i="1"/>
  <c r="P325" i="1"/>
  <c r="O325" i="1"/>
  <c r="N325" i="1"/>
  <c r="M325" i="1"/>
  <c r="J325" i="1"/>
  <c r="I325" i="1"/>
  <c r="H325" i="1"/>
  <c r="G325" i="1"/>
  <c r="F325" i="1"/>
  <c r="P323" i="1"/>
  <c r="O323" i="1"/>
  <c r="N323" i="1"/>
  <c r="M323" i="1"/>
  <c r="L323" i="1"/>
  <c r="K323" i="1"/>
  <c r="J323" i="1"/>
  <c r="I323" i="1"/>
  <c r="H323" i="1"/>
  <c r="G323" i="1"/>
  <c r="F323" i="1"/>
  <c r="D323" i="1"/>
  <c r="E323" i="1"/>
  <c r="P315" i="1"/>
  <c r="P316" i="1"/>
  <c r="O315" i="1"/>
  <c r="O316" i="1"/>
  <c r="N315" i="1"/>
  <c r="N316" i="1"/>
  <c r="M315" i="1"/>
  <c r="M316" i="1"/>
  <c r="L315" i="1"/>
  <c r="L316" i="1"/>
  <c r="K316" i="1"/>
  <c r="J316" i="1"/>
  <c r="I315" i="1"/>
  <c r="I316" i="1"/>
  <c r="H315" i="1"/>
  <c r="H316" i="1"/>
  <c r="G315" i="1"/>
  <c r="G316" i="1"/>
  <c r="F315" i="1"/>
  <c r="F316" i="1"/>
  <c r="Q287" i="1"/>
  <c r="P287" i="1"/>
  <c r="O287" i="1"/>
  <c r="N287" i="1"/>
  <c r="M287" i="1"/>
  <c r="J287" i="1"/>
  <c r="I287" i="1"/>
  <c r="H287" i="1"/>
  <c r="G287" i="1"/>
  <c r="F287" i="1"/>
  <c r="Q284" i="1"/>
  <c r="Q285" i="1"/>
  <c r="Q286" i="1"/>
  <c r="Q288" i="1"/>
  <c r="Q274" i="1"/>
  <c r="Q275" i="1"/>
  <c r="Q276" i="1"/>
  <c r="Q277" i="1"/>
  <c r="Q279" i="1"/>
  <c r="Q280" i="1"/>
  <c r="Q281" i="1"/>
  <c r="Q290" i="1"/>
  <c r="Q292" i="1"/>
  <c r="Q293" i="1"/>
  <c r="Q294" i="1"/>
  <c r="Q298" i="1"/>
  <c r="Q300" i="1"/>
  <c r="E292" i="1"/>
  <c r="P292" i="1"/>
  <c r="P293" i="1"/>
  <c r="P294" i="1"/>
  <c r="O292" i="1"/>
  <c r="O294" i="1"/>
  <c r="N292" i="1"/>
  <c r="N294" i="1"/>
  <c r="M292" i="1"/>
  <c r="M293" i="1"/>
  <c r="M294" i="1"/>
  <c r="L294" i="1"/>
  <c r="K292" i="1"/>
  <c r="K294" i="1"/>
  <c r="J292" i="1"/>
  <c r="J294" i="1"/>
  <c r="I292" i="1"/>
  <c r="I293" i="1"/>
  <c r="I294" i="1"/>
  <c r="H292" i="1"/>
  <c r="H293" i="1"/>
  <c r="H294" i="1"/>
  <c r="G294" i="1"/>
  <c r="F292" i="1"/>
  <c r="F294" i="1"/>
  <c r="D294" i="1"/>
  <c r="P285" i="1"/>
  <c r="O285" i="1"/>
  <c r="N285" i="1"/>
  <c r="M285" i="1"/>
  <c r="K285" i="1"/>
  <c r="J285" i="1"/>
  <c r="I285" i="1"/>
  <c r="H285" i="1"/>
  <c r="F285" i="1"/>
  <c r="D274" i="1"/>
  <c r="E274" i="1"/>
  <c r="P274" i="1"/>
  <c r="E275" i="1"/>
  <c r="P275" i="1"/>
  <c r="P277" i="1"/>
  <c r="O274" i="1"/>
  <c r="O275" i="1"/>
  <c r="O277" i="1"/>
  <c r="N274" i="1"/>
  <c r="N275" i="1"/>
  <c r="N277" i="1"/>
  <c r="M274" i="1"/>
  <c r="M275" i="1"/>
  <c r="M277" i="1"/>
  <c r="L277" i="1"/>
  <c r="K274" i="1"/>
  <c r="K275" i="1"/>
  <c r="K277" i="1"/>
  <c r="J274" i="1"/>
  <c r="J275" i="1"/>
  <c r="J276" i="1"/>
  <c r="J277" i="1"/>
  <c r="I274" i="1"/>
  <c r="I275" i="1"/>
  <c r="I276" i="1"/>
  <c r="I277" i="1"/>
  <c r="H274" i="1"/>
  <c r="H275" i="1"/>
  <c r="H277" i="1"/>
  <c r="G274" i="1"/>
  <c r="G275" i="1"/>
  <c r="G276" i="1"/>
  <c r="G277" i="1"/>
  <c r="F274" i="1"/>
  <c r="F275" i="1"/>
  <c r="F277" i="1"/>
  <c r="E277" i="1"/>
  <c r="D277" i="1"/>
  <c r="C277" i="1"/>
  <c r="E298" i="1"/>
  <c r="P290" i="1"/>
  <c r="O290" i="1"/>
  <c r="N290" i="1"/>
  <c r="M290" i="1"/>
  <c r="J290" i="1"/>
  <c r="I290" i="1"/>
  <c r="H290" i="1"/>
  <c r="G290" i="1"/>
  <c r="F290" i="1"/>
  <c r="P284" i="1"/>
  <c r="P288" i="1"/>
  <c r="O284" i="1"/>
  <c r="O288" i="1"/>
  <c r="N284" i="1"/>
  <c r="N288" i="1"/>
  <c r="M284" i="1"/>
  <c r="M288" i="1"/>
  <c r="L288" i="1"/>
  <c r="K284" i="1"/>
  <c r="K288" i="1"/>
  <c r="J284" i="1"/>
  <c r="J286" i="1"/>
  <c r="J288" i="1"/>
  <c r="I284" i="1"/>
  <c r="I286" i="1"/>
  <c r="I288" i="1"/>
  <c r="H284" i="1"/>
  <c r="H288" i="1"/>
  <c r="G284" i="1"/>
  <c r="G286" i="1"/>
  <c r="G288" i="1"/>
  <c r="F284" i="1"/>
  <c r="F288" i="1"/>
  <c r="C288" i="1"/>
  <c r="D288" i="1"/>
  <c r="P279" i="1"/>
  <c r="P280" i="1"/>
  <c r="P281" i="1"/>
  <c r="O279" i="1"/>
  <c r="O280" i="1"/>
  <c r="O281" i="1"/>
  <c r="N279" i="1"/>
  <c r="N280" i="1"/>
  <c r="N281" i="1"/>
  <c r="M279" i="1"/>
  <c r="M280" i="1"/>
  <c r="M281" i="1"/>
  <c r="L280" i="1"/>
  <c r="L281" i="1"/>
  <c r="K281" i="1"/>
  <c r="J279" i="1"/>
  <c r="J281" i="1"/>
  <c r="I279" i="1"/>
  <c r="I280" i="1"/>
  <c r="I281" i="1"/>
  <c r="H279" i="1"/>
  <c r="H280" i="1"/>
  <c r="H281" i="1"/>
  <c r="G279" i="1"/>
  <c r="G280" i="1"/>
  <c r="G281" i="1"/>
  <c r="F279" i="1"/>
  <c r="F280" i="1"/>
  <c r="F281" i="1"/>
  <c r="Q250" i="1"/>
  <c r="E250" i="1"/>
  <c r="P250" i="1"/>
  <c r="O250" i="1"/>
  <c r="N250" i="1"/>
  <c r="M250" i="1"/>
  <c r="L250" i="1"/>
  <c r="I250" i="1"/>
  <c r="H250" i="1"/>
  <c r="G250" i="1"/>
  <c r="F250" i="1"/>
  <c r="E180" i="1"/>
  <c r="P180" i="1"/>
  <c r="O180" i="1"/>
  <c r="N180" i="1"/>
  <c r="M180" i="1"/>
  <c r="L180" i="1"/>
  <c r="I180" i="1"/>
  <c r="H180" i="1"/>
  <c r="G180" i="1"/>
  <c r="F180" i="1"/>
  <c r="E90" i="1"/>
  <c r="Q90" i="1"/>
  <c r="Q88" i="1"/>
  <c r="Q89" i="1"/>
  <c r="Q91" i="1"/>
  <c r="P90" i="1"/>
  <c r="O90" i="1"/>
  <c r="N90" i="1"/>
  <c r="M90" i="1"/>
  <c r="L90" i="1"/>
  <c r="I90" i="1"/>
  <c r="H90" i="1"/>
  <c r="G90" i="1"/>
  <c r="F90" i="1"/>
  <c r="Q44" i="1"/>
  <c r="Q45" i="1"/>
  <c r="Q46" i="1"/>
  <c r="Q47" i="1"/>
  <c r="Q50" i="1"/>
  <c r="Q51" i="1"/>
  <c r="Q53" i="1"/>
  <c r="Q54" i="1"/>
  <c r="Q55" i="1"/>
  <c r="Q56" i="1"/>
  <c r="Q57" i="1"/>
  <c r="Q58" i="1"/>
  <c r="Q60" i="1"/>
  <c r="Q62" i="1"/>
  <c r="Q63" i="1"/>
  <c r="Q64" i="1"/>
  <c r="Q66" i="1"/>
  <c r="Q68" i="1"/>
  <c r="Q69" i="1"/>
  <c r="P56" i="1"/>
  <c r="O56" i="1"/>
  <c r="N56" i="1"/>
  <c r="M56" i="1"/>
  <c r="L56" i="1"/>
  <c r="I56" i="1"/>
  <c r="H56" i="1"/>
  <c r="G56" i="1"/>
  <c r="F56" i="1"/>
  <c r="P17" i="1"/>
  <c r="O17" i="1"/>
  <c r="N17" i="1"/>
  <c r="M17" i="1"/>
  <c r="L17" i="1"/>
  <c r="I17" i="1"/>
  <c r="H17" i="1"/>
  <c r="G17" i="1"/>
  <c r="F17" i="1"/>
  <c r="D245" i="1"/>
  <c r="E245" i="1"/>
  <c r="F245" i="1"/>
  <c r="F247" i="1"/>
  <c r="G245" i="1"/>
  <c r="E246" i="1"/>
  <c r="G246" i="1"/>
  <c r="G247" i="1"/>
  <c r="H247" i="1"/>
  <c r="I245" i="1"/>
  <c r="I246" i="1"/>
  <c r="I247" i="1"/>
  <c r="J245" i="1"/>
  <c r="J246" i="1"/>
  <c r="J247" i="1"/>
  <c r="K245" i="1"/>
  <c r="K247" i="1"/>
  <c r="L245" i="1"/>
  <c r="L247" i="1"/>
  <c r="M245" i="1"/>
  <c r="M247" i="1"/>
  <c r="N245" i="1"/>
  <c r="N247" i="1"/>
  <c r="O245" i="1"/>
  <c r="O247" i="1"/>
  <c r="P245" i="1"/>
  <c r="P247" i="1"/>
  <c r="E247" i="1"/>
  <c r="C247" i="1"/>
  <c r="G214" i="1"/>
  <c r="Q246" i="1"/>
  <c r="Q245" i="1"/>
  <c r="Q247" i="1"/>
  <c r="Q251" i="1"/>
  <c r="Q253" i="1"/>
  <c r="Q255" i="1"/>
  <c r="Q256" i="1"/>
  <c r="Q257" i="1"/>
  <c r="Q261" i="1"/>
  <c r="Q263" i="1"/>
  <c r="E249" i="1"/>
  <c r="P249" i="1"/>
  <c r="P251" i="1"/>
  <c r="O249" i="1"/>
  <c r="O251" i="1"/>
  <c r="N249" i="1"/>
  <c r="N251" i="1"/>
  <c r="M249" i="1"/>
  <c r="M251" i="1"/>
  <c r="L251" i="1"/>
  <c r="K249" i="1"/>
  <c r="K251" i="1"/>
  <c r="J249" i="1"/>
  <c r="J251" i="1"/>
  <c r="I249" i="1"/>
  <c r="I251" i="1"/>
  <c r="H249" i="1"/>
  <c r="H251" i="1"/>
  <c r="G249" i="1"/>
  <c r="G251" i="1"/>
  <c r="F249" i="1"/>
  <c r="F251" i="1"/>
  <c r="D251" i="1"/>
  <c r="C251" i="1"/>
  <c r="E261" i="1"/>
  <c r="P255" i="1"/>
  <c r="P256" i="1"/>
  <c r="P257" i="1"/>
  <c r="O255" i="1"/>
  <c r="O257" i="1"/>
  <c r="N255" i="1"/>
  <c r="N257" i="1"/>
  <c r="M255" i="1"/>
  <c r="M256" i="1"/>
  <c r="M257" i="1"/>
  <c r="L257" i="1"/>
  <c r="K255" i="1"/>
  <c r="K257" i="1"/>
  <c r="J255" i="1"/>
  <c r="J257" i="1"/>
  <c r="I255" i="1"/>
  <c r="I256" i="1"/>
  <c r="I257" i="1"/>
  <c r="H255" i="1"/>
  <c r="H256" i="1"/>
  <c r="H257" i="1"/>
  <c r="G257" i="1"/>
  <c r="F255" i="1"/>
  <c r="F257" i="1"/>
  <c r="D257" i="1"/>
  <c r="P253" i="1"/>
  <c r="O253" i="1"/>
  <c r="N253" i="1"/>
  <c r="M253" i="1"/>
  <c r="J253" i="1"/>
  <c r="I253" i="1"/>
  <c r="H253" i="1"/>
  <c r="G253" i="1"/>
  <c r="F253" i="1"/>
  <c r="D247" i="1"/>
  <c r="C222" i="1"/>
  <c r="D221" i="1"/>
  <c r="D222" i="1"/>
  <c r="E222" i="1"/>
  <c r="E211" i="1"/>
  <c r="P211" i="1"/>
  <c r="O211" i="1"/>
  <c r="N211" i="1"/>
  <c r="M211" i="1"/>
  <c r="K211" i="1"/>
  <c r="J211" i="1"/>
  <c r="I211" i="1"/>
  <c r="H211" i="1"/>
  <c r="G211" i="1"/>
  <c r="F211" i="1"/>
  <c r="D212" i="1"/>
  <c r="E212" i="1"/>
  <c r="P212" i="1"/>
  <c r="D213" i="1"/>
  <c r="E213" i="1"/>
  <c r="P213" i="1"/>
  <c r="P215" i="1"/>
  <c r="O212" i="1"/>
  <c r="O213" i="1"/>
  <c r="O215" i="1"/>
  <c r="N212" i="1"/>
  <c r="N213" i="1"/>
  <c r="N215" i="1"/>
  <c r="M212" i="1"/>
  <c r="M213" i="1"/>
  <c r="M215" i="1"/>
  <c r="L215" i="1"/>
  <c r="K212" i="1"/>
  <c r="K213" i="1"/>
  <c r="K215" i="1"/>
  <c r="J212" i="1"/>
  <c r="J213" i="1"/>
  <c r="J214" i="1"/>
  <c r="J215" i="1"/>
  <c r="I212" i="1"/>
  <c r="I213" i="1"/>
  <c r="I214" i="1"/>
  <c r="I215" i="1"/>
  <c r="H212" i="1"/>
  <c r="H213" i="1"/>
  <c r="H215" i="1"/>
  <c r="G212" i="1"/>
  <c r="G213" i="1"/>
  <c r="G215" i="1"/>
  <c r="F212" i="1"/>
  <c r="F213" i="1"/>
  <c r="F215" i="1"/>
  <c r="E215" i="1"/>
  <c r="D215" i="1"/>
  <c r="C215" i="1"/>
  <c r="E217" i="1"/>
  <c r="E232" i="1"/>
  <c r="P226" i="1"/>
  <c r="P227" i="1"/>
  <c r="P228" i="1"/>
  <c r="O226" i="1"/>
  <c r="O228" i="1"/>
  <c r="N226" i="1"/>
  <c r="N228" i="1"/>
  <c r="M226" i="1"/>
  <c r="M227" i="1"/>
  <c r="M228" i="1"/>
  <c r="L228" i="1"/>
  <c r="K226" i="1"/>
  <c r="K228" i="1"/>
  <c r="J226" i="1"/>
  <c r="J228" i="1"/>
  <c r="I226" i="1"/>
  <c r="I227" i="1"/>
  <c r="I228" i="1"/>
  <c r="H226" i="1"/>
  <c r="H227" i="1"/>
  <c r="H228" i="1"/>
  <c r="G228" i="1"/>
  <c r="F226" i="1"/>
  <c r="F228" i="1"/>
  <c r="D228" i="1"/>
  <c r="P224" i="1"/>
  <c r="O224" i="1"/>
  <c r="N224" i="1"/>
  <c r="M224" i="1"/>
  <c r="J224" i="1"/>
  <c r="I224" i="1"/>
  <c r="H224" i="1"/>
  <c r="G224" i="1"/>
  <c r="F224" i="1"/>
  <c r="P221" i="1"/>
  <c r="P222" i="1"/>
  <c r="O221" i="1"/>
  <c r="O222" i="1"/>
  <c r="N221" i="1"/>
  <c r="N222" i="1"/>
  <c r="M221" i="1"/>
  <c r="M222" i="1"/>
  <c r="L221" i="1"/>
  <c r="L222" i="1"/>
  <c r="K222" i="1"/>
  <c r="J221" i="1"/>
  <c r="J222" i="1"/>
  <c r="I221" i="1"/>
  <c r="I222" i="1"/>
  <c r="H221" i="1"/>
  <c r="H222" i="1"/>
  <c r="G221" i="1"/>
  <c r="G222" i="1"/>
  <c r="F221" i="1"/>
  <c r="F222" i="1"/>
  <c r="P217" i="1"/>
  <c r="P219" i="1"/>
  <c r="O217" i="1"/>
  <c r="O219" i="1"/>
  <c r="N217" i="1"/>
  <c r="N219" i="1"/>
  <c r="M217" i="1"/>
  <c r="M219" i="1"/>
  <c r="L219" i="1"/>
  <c r="K219" i="1"/>
  <c r="J217" i="1"/>
  <c r="J219" i="1"/>
  <c r="I217" i="1"/>
  <c r="I219" i="1"/>
  <c r="H217" i="1"/>
  <c r="H219" i="1"/>
  <c r="G217" i="1"/>
  <c r="G219" i="1"/>
  <c r="F217" i="1"/>
  <c r="F219" i="1"/>
  <c r="E219" i="1"/>
  <c r="D219" i="1"/>
  <c r="P194" i="1"/>
  <c r="P195" i="1"/>
  <c r="P196" i="1"/>
  <c r="O194" i="1"/>
  <c r="O196" i="1"/>
  <c r="N194" i="1"/>
  <c r="N196" i="1"/>
  <c r="M194" i="1"/>
  <c r="M195" i="1"/>
  <c r="M196" i="1"/>
  <c r="L196" i="1"/>
  <c r="K194" i="1"/>
  <c r="K196" i="1"/>
  <c r="J194" i="1"/>
  <c r="J196" i="1"/>
  <c r="I194" i="1"/>
  <c r="I195" i="1"/>
  <c r="I196" i="1"/>
  <c r="H194" i="1"/>
  <c r="H195" i="1"/>
  <c r="H196" i="1"/>
  <c r="G196" i="1"/>
  <c r="F194" i="1"/>
  <c r="F196" i="1"/>
  <c r="D196" i="1"/>
  <c r="P198" i="1"/>
  <c r="O198" i="1"/>
  <c r="N198" i="1"/>
  <c r="M198" i="1"/>
  <c r="K198" i="1"/>
  <c r="J198" i="1"/>
  <c r="I198" i="1"/>
  <c r="H198" i="1"/>
  <c r="G198" i="1"/>
  <c r="F198" i="1"/>
  <c r="D186" i="1"/>
  <c r="E186" i="1"/>
  <c r="P186" i="1"/>
  <c r="D187" i="1"/>
  <c r="E187" i="1"/>
  <c r="P187" i="1"/>
  <c r="D188" i="1"/>
  <c r="E188" i="1"/>
  <c r="P188" i="1"/>
  <c r="P190" i="1"/>
  <c r="O186" i="1"/>
  <c r="O187" i="1"/>
  <c r="O188" i="1"/>
  <c r="O190" i="1"/>
  <c r="N186" i="1"/>
  <c r="N187" i="1"/>
  <c r="N188" i="1"/>
  <c r="N190" i="1"/>
  <c r="M186" i="1"/>
  <c r="M187" i="1"/>
  <c r="M188" i="1"/>
  <c r="M190" i="1"/>
  <c r="L190" i="1"/>
  <c r="K186" i="1"/>
  <c r="K187" i="1"/>
  <c r="K188" i="1"/>
  <c r="K190" i="1"/>
  <c r="J186" i="1"/>
  <c r="J187" i="1"/>
  <c r="J188" i="1"/>
  <c r="E189" i="1"/>
  <c r="J189" i="1"/>
  <c r="J190" i="1"/>
  <c r="I186" i="1"/>
  <c r="I187" i="1"/>
  <c r="I188" i="1"/>
  <c r="I189" i="1"/>
  <c r="I190" i="1"/>
  <c r="H186" i="1"/>
  <c r="H187" i="1"/>
  <c r="H188" i="1"/>
  <c r="H190" i="1"/>
  <c r="G186" i="1"/>
  <c r="G187" i="1"/>
  <c r="G188" i="1"/>
  <c r="G189" i="1"/>
  <c r="G190" i="1"/>
  <c r="F186" i="1"/>
  <c r="F187" i="1"/>
  <c r="F188" i="1"/>
  <c r="F190" i="1"/>
  <c r="E190" i="1"/>
  <c r="D190" i="1"/>
  <c r="C190" i="1"/>
  <c r="E200" i="1"/>
  <c r="P192" i="1"/>
  <c r="O192" i="1"/>
  <c r="N192" i="1"/>
  <c r="M192" i="1"/>
  <c r="J192" i="1"/>
  <c r="I192" i="1"/>
  <c r="H192" i="1"/>
  <c r="G192" i="1"/>
  <c r="F192" i="1"/>
  <c r="D179" i="1"/>
  <c r="E179" i="1"/>
  <c r="P179" i="1"/>
  <c r="P181" i="1"/>
  <c r="O179" i="1"/>
  <c r="O181" i="1"/>
  <c r="N179" i="1"/>
  <c r="N181" i="1"/>
  <c r="M179" i="1"/>
  <c r="M181" i="1"/>
  <c r="L181" i="1"/>
  <c r="K179" i="1"/>
  <c r="K181" i="1"/>
  <c r="J179" i="1"/>
  <c r="J181" i="1"/>
  <c r="I179" i="1"/>
  <c r="I181" i="1"/>
  <c r="H179" i="1"/>
  <c r="H181" i="1"/>
  <c r="G179" i="1"/>
  <c r="G181" i="1"/>
  <c r="F179" i="1"/>
  <c r="F181" i="1"/>
  <c r="E181" i="1"/>
  <c r="D181" i="1"/>
  <c r="C181" i="1"/>
  <c r="E161" i="1"/>
  <c r="E152" i="1"/>
  <c r="P152" i="1"/>
  <c r="O152" i="1"/>
  <c r="N152" i="1"/>
  <c r="M152" i="1"/>
  <c r="K152" i="1"/>
  <c r="J152" i="1"/>
  <c r="I152" i="1"/>
  <c r="H152" i="1"/>
  <c r="F152" i="1"/>
  <c r="P147" i="1"/>
  <c r="P148" i="1"/>
  <c r="P150" i="1"/>
  <c r="O147" i="1"/>
  <c r="O148" i="1"/>
  <c r="O150" i="1"/>
  <c r="N147" i="1"/>
  <c r="N148" i="1"/>
  <c r="N150" i="1"/>
  <c r="M147" i="1"/>
  <c r="M148" i="1"/>
  <c r="M150" i="1"/>
  <c r="L150" i="1"/>
  <c r="K147" i="1"/>
  <c r="K148" i="1"/>
  <c r="K150" i="1"/>
  <c r="J147" i="1"/>
  <c r="J148" i="1"/>
  <c r="J149" i="1"/>
  <c r="J150" i="1"/>
  <c r="I147" i="1"/>
  <c r="I148" i="1"/>
  <c r="I149" i="1"/>
  <c r="I150" i="1"/>
  <c r="H147" i="1"/>
  <c r="H148" i="1"/>
  <c r="H150" i="1"/>
  <c r="G147" i="1"/>
  <c r="G148" i="1"/>
  <c r="G149" i="1"/>
  <c r="G150" i="1"/>
  <c r="F147" i="1"/>
  <c r="F148" i="1"/>
  <c r="F150" i="1"/>
  <c r="D150" i="1"/>
  <c r="E166" i="1"/>
  <c r="E160" i="1"/>
  <c r="P160" i="1"/>
  <c r="P161" i="1"/>
  <c r="P162" i="1"/>
  <c r="O160" i="1"/>
  <c r="O162" i="1"/>
  <c r="N160" i="1"/>
  <c r="N162" i="1"/>
  <c r="M160" i="1"/>
  <c r="M161" i="1"/>
  <c r="M162" i="1"/>
  <c r="L162" i="1"/>
  <c r="K160" i="1"/>
  <c r="K162" i="1"/>
  <c r="J160" i="1"/>
  <c r="J162" i="1"/>
  <c r="I160" i="1"/>
  <c r="I161" i="1"/>
  <c r="I162" i="1"/>
  <c r="H160" i="1"/>
  <c r="H161" i="1"/>
  <c r="H162" i="1"/>
  <c r="G162" i="1"/>
  <c r="F160" i="1"/>
  <c r="F162" i="1"/>
  <c r="D162" i="1"/>
  <c r="P158" i="1"/>
  <c r="O158" i="1"/>
  <c r="N158" i="1"/>
  <c r="M158" i="1"/>
  <c r="J158" i="1"/>
  <c r="I158" i="1"/>
  <c r="H158" i="1"/>
  <c r="G158" i="1"/>
  <c r="F158" i="1"/>
  <c r="E154" i="1"/>
  <c r="P154" i="1"/>
  <c r="P156" i="1"/>
  <c r="O154" i="1"/>
  <c r="O156" i="1"/>
  <c r="N154" i="1"/>
  <c r="N156" i="1"/>
  <c r="M154" i="1"/>
  <c r="M156" i="1"/>
  <c r="L156" i="1"/>
  <c r="K156" i="1"/>
  <c r="J154" i="1"/>
  <c r="E155" i="1"/>
  <c r="J155" i="1"/>
  <c r="J156" i="1"/>
  <c r="I154" i="1"/>
  <c r="I155" i="1"/>
  <c r="I156" i="1"/>
  <c r="H154" i="1"/>
  <c r="H156" i="1"/>
  <c r="G154" i="1"/>
  <c r="G155" i="1"/>
  <c r="G156" i="1"/>
  <c r="F154" i="1"/>
  <c r="F156" i="1"/>
  <c r="D156" i="1"/>
  <c r="Q102" i="1"/>
  <c r="Q93" i="1"/>
  <c r="P93" i="1"/>
  <c r="O93" i="1"/>
  <c r="N93" i="1"/>
  <c r="M93" i="1"/>
  <c r="L93" i="1"/>
  <c r="J93" i="1"/>
  <c r="I93" i="1"/>
  <c r="H93" i="1"/>
  <c r="G93" i="1"/>
  <c r="F93" i="1"/>
  <c r="D93" i="1"/>
  <c r="D55" i="1"/>
  <c r="E55" i="1"/>
  <c r="P55" i="1"/>
  <c r="O55" i="1"/>
  <c r="N55" i="1"/>
  <c r="M55" i="1"/>
  <c r="D54" i="1"/>
  <c r="E54" i="1"/>
  <c r="M54" i="1"/>
  <c r="K55" i="1"/>
  <c r="J55" i="1"/>
  <c r="I55" i="1"/>
  <c r="H55" i="1"/>
  <c r="F55" i="1"/>
  <c r="E57" i="1"/>
  <c r="D53" i="1"/>
  <c r="E53" i="1"/>
  <c r="D83" i="1"/>
  <c r="D82" i="1"/>
  <c r="D81" i="1"/>
  <c r="D86" i="1"/>
  <c r="E83" i="1"/>
  <c r="E82" i="1"/>
  <c r="E81" i="1"/>
  <c r="E84" i="1"/>
  <c r="E85" i="1"/>
  <c r="E86" i="1"/>
  <c r="F83" i="1"/>
  <c r="F82" i="1"/>
  <c r="F81" i="1"/>
  <c r="F86" i="1"/>
  <c r="G83" i="1"/>
  <c r="G82" i="1"/>
  <c r="G81" i="1"/>
  <c r="G84" i="1"/>
  <c r="G85" i="1"/>
  <c r="G86" i="1"/>
  <c r="H83" i="1"/>
  <c r="H82" i="1"/>
  <c r="H81" i="1"/>
  <c r="H86" i="1"/>
  <c r="I83" i="1"/>
  <c r="I82" i="1"/>
  <c r="I81" i="1"/>
  <c r="I84" i="1"/>
  <c r="I85" i="1"/>
  <c r="I86" i="1"/>
  <c r="J83" i="1"/>
  <c r="J82" i="1"/>
  <c r="J81" i="1"/>
  <c r="J84" i="1"/>
  <c r="J85" i="1"/>
  <c r="J86" i="1"/>
  <c r="K83" i="1"/>
  <c r="K82" i="1"/>
  <c r="K81" i="1"/>
  <c r="K86" i="1"/>
  <c r="L86" i="1"/>
  <c r="M83" i="1"/>
  <c r="M82" i="1"/>
  <c r="M81" i="1"/>
  <c r="M86" i="1"/>
  <c r="N83" i="1"/>
  <c r="N82" i="1"/>
  <c r="N81" i="1"/>
  <c r="N86" i="1"/>
  <c r="O83" i="1"/>
  <c r="O82" i="1"/>
  <c r="O81" i="1"/>
  <c r="O86" i="1"/>
  <c r="P83" i="1"/>
  <c r="P82" i="1"/>
  <c r="P81" i="1"/>
  <c r="P86" i="1"/>
  <c r="Q83" i="1"/>
  <c r="Q82" i="1"/>
  <c r="Q81" i="1"/>
  <c r="Q84" i="1"/>
  <c r="Q85" i="1"/>
  <c r="Q86" i="1"/>
  <c r="C86" i="1"/>
  <c r="D91" i="1"/>
  <c r="E89" i="1"/>
  <c r="F88" i="1"/>
  <c r="F91" i="1"/>
  <c r="G88" i="1"/>
  <c r="G89" i="1"/>
  <c r="G91" i="1"/>
  <c r="H88" i="1"/>
  <c r="H91" i="1"/>
  <c r="I88" i="1"/>
  <c r="I89" i="1"/>
  <c r="I91" i="1"/>
  <c r="J88" i="1"/>
  <c r="J89" i="1"/>
  <c r="J91" i="1"/>
  <c r="K91" i="1"/>
  <c r="L91" i="1"/>
  <c r="M88" i="1"/>
  <c r="M91" i="1"/>
  <c r="N88" i="1"/>
  <c r="N91" i="1"/>
  <c r="O88" i="1"/>
  <c r="O91" i="1"/>
  <c r="P88" i="1"/>
  <c r="P91" i="1"/>
  <c r="Q94" i="1"/>
  <c r="Q96" i="1"/>
  <c r="Q98" i="1"/>
  <c r="Q99" i="1"/>
  <c r="Q100" i="1"/>
  <c r="Q104" i="1"/>
  <c r="Q105" i="1"/>
  <c r="E104" i="1"/>
  <c r="P98" i="1"/>
  <c r="P99" i="1"/>
  <c r="P100" i="1"/>
  <c r="O98" i="1"/>
  <c r="O100" i="1"/>
  <c r="N98" i="1"/>
  <c r="N100" i="1"/>
  <c r="M98" i="1"/>
  <c r="M99" i="1"/>
  <c r="M100" i="1"/>
  <c r="L100" i="1"/>
  <c r="K98" i="1"/>
  <c r="K100" i="1"/>
  <c r="J98" i="1"/>
  <c r="J100" i="1"/>
  <c r="I98" i="1"/>
  <c r="I99" i="1"/>
  <c r="I100" i="1"/>
  <c r="H98" i="1"/>
  <c r="H99" i="1"/>
  <c r="H100" i="1"/>
  <c r="G100" i="1"/>
  <c r="F98" i="1"/>
  <c r="F100" i="1"/>
  <c r="D100" i="1"/>
  <c r="P96" i="1"/>
  <c r="O96" i="1"/>
  <c r="N96" i="1"/>
  <c r="M96" i="1"/>
  <c r="J96" i="1"/>
  <c r="I96" i="1"/>
  <c r="H96" i="1"/>
  <c r="G96" i="1"/>
  <c r="F96" i="1"/>
  <c r="P94" i="1"/>
  <c r="O94" i="1"/>
  <c r="N94" i="1"/>
  <c r="M94" i="1"/>
  <c r="L94" i="1"/>
  <c r="K94" i="1"/>
  <c r="J94" i="1"/>
  <c r="I94" i="1"/>
  <c r="H94" i="1"/>
  <c r="G94" i="1"/>
  <c r="F94" i="1"/>
  <c r="C94" i="1"/>
  <c r="D94" i="1"/>
  <c r="E68" i="1"/>
  <c r="E66" i="1"/>
  <c r="Q11" i="1"/>
  <c r="Q12" i="1"/>
  <c r="Q13" i="1"/>
  <c r="Q14" i="1"/>
  <c r="Q16" i="1"/>
  <c r="Q17" i="1"/>
  <c r="Q18" i="1"/>
  <c r="Q20" i="1"/>
  <c r="Q21" i="1"/>
  <c r="Q22" i="1"/>
  <c r="Q23" i="1"/>
  <c r="Q24" i="1"/>
  <c r="Q25" i="1"/>
  <c r="Q27" i="1"/>
  <c r="Q29" i="1"/>
  <c r="Q30" i="1"/>
  <c r="Q31" i="1"/>
  <c r="Q33" i="1"/>
  <c r="Q35" i="1"/>
  <c r="Q37" i="1"/>
  <c r="E35" i="1"/>
  <c r="P60" i="1"/>
  <c r="O60" i="1"/>
  <c r="N60" i="1"/>
  <c r="M60" i="1"/>
  <c r="J60" i="1"/>
  <c r="I60" i="1"/>
  <c r="H60" i="1"/>
  <c r="G60" i="1"/>
  <c r="F60" i="1"/>
  <c r="I66" i="1"/>
  <c r="H66" i="1"/>
  <c r="G66" i="1"/>
  <c r="F66" i="1"/>
  <c r="P62" i="1"/>
  <c r="P63" i="1"/>
  <c r="P64" i="1"/>
  <c r="O62" i="1"/>
  <c r="O64" i="1"/>
  <c r="N62" i="1"/>
  <c r="N64" i="1"/>
  <c r="M62" i="1"/>
  <c r="M63" i="1"/>
  <c r="M64" i="1"/>
  <c r="L64" i="1"/>
  <c r="K62" i="1"/>
  <c r="K64" i="1"/>
  <c r="J62" i="1"/>
  <c r="J64" i="1"/>
  <c r="I62" i="1"/>
  <c r="I63" i="1"/>
  <c r="I64" i="1"/>
  <c r="H62" i="1"/>
  <c r="H63" i="1"/>
  <c r="H64" i="1"/>
  <c r="G64" i="1"/>
  <c r="F62" i="1"/>
  <c r="F64" i="1"/>
  <c r="D64" i="1"/>
  <c r="F45" i="1"/>
  <c r="F44" i="1"/>
  <c r="F47" i="1"/>
  <c r="G45" i="1"/>
  <c r="G44" i="1"/>
  <c r="G46" i="1"/>
  <c r="G47" i="1"/>
  <c r="H45" i="1"/>
  <c r="H44" i="1"/>
  <c r="H47" i="1"/>
  <c r="I45" i="1"/>
  <c r="I44" i="1"/>
  <c r="I46" i="1"/>
  <c r="I47" i="1"/>
  <c r="J45" i="1"/>
  <c r="J44" i="1"/>
  <c r="J46" i="1"/>
  <c r="J47" i="1"/>
  <c r="K45" i="1"/>
  <c r="K44" i="1"/>
  <c r="K47" i="1"/>
  <c r="L47" i="1"/>
  <c r="M45" i="1"/>
  <c r="M44" i="1"/>
  <c r="M47" i="1"/>
  <c r="N45" i="1"/>
  <c r="N44" i="1"/>
  <c r="N47" i="1"/>
  <c r="O45" i="1"/>
  <c r="O44" i="1"/>
  <c r="O47" i="1"/>
  <c r="P45" i="1"/>
  <c r="P44" i="1"/>
  <c r="P47" i="1"/>
  <c r="F53" i="1"/>
  <c r="F54" i="1"/>
  <c r="F57" i="1"/>
  <c r="F58" i="1"/>
  <c r="G53" i="1"/>
  <c r="G54" i="1"/>
  <c r="G57" i="1"/>
  <c r="G58" i="1"/>
  <c r="H53" i="1"/>
  <c r="H54" i="1"/>
  <c r="H57" i="1"/>
  <c r="H58" i="1"/>
  <c r="I53" i="1"/>
  <c r="I54" i="1"/>
  <c r="I57" i="1"/>
  <c r="I58" i="1"/>
  <c r="J53" i="1"/>
  <c r="J54" i="1"/>
  <c r="J57" i="1"/>
  <c r="J58" i="1"/>
  <c r="K53" i="1"/>
  <c r="K54" i="1"/>
  <c r="K58" i="1"/>
  <c r="L58" i="1"/>
  <c r="M53" i="1"/>
  <c r="M57" i="1"/>
  <c r="M58" i="1"/>
  <c r="N53" i="1"/>
  <c r="N54" i="1"/>
  <c r="N57" i="1"/>
  <c r="N58" i="1"/>
  <c r="O53" i="1"/>
  <c r="O54" i="1"/>
  <c r="O57" i="1"/>
  <c r="O58" i="1"/>
  <c r="P53" i="1"/>
  <c r="P54" i="1"/>
  <c r="P57" i="1"/>
  <c r="P58" i="1"/>
  <c r="D58" i="1"/>
  <c r="C64" i="1"/>
  <c r="F50" i="1"/>
  <c r="F51" i="1"/>
  <c r="G50" i="1"/>
  <c r="G51" i="1"/>
  <c r="H50" i="1"/>
  <c r="H51" i="1"/>
  <c r="I50" i="1"/>
  <c r="I51" i="1"/>
  <c r="J50" i="1"/>
  <c r="J51" i="1"/>
  <c r="K51" i="1"/>
  <c r="L50" i="1"/>
  <c r="L51" i="1"/>
  <c r="M50" i="1"/>
  <c r="M51" i="1"/>
  <c r="N50" i="1"/>
  <c r="N51" i="1"/>
  <c r="O50" i="1"/>
  <c r="O51" i="1"/>
  <c r="P50" i="1"/>
  <c r="P51" i="1"/>
  <c r="D50" i="1"/>
  <c r="D51" i="1"/>
  <c r="C51" i="1"/>
  <c r="P33" i="1"/>
  <c r="O33" i="1"/>
  <c r="N33" i="1"/>
  <c r="M33" i="1"/>
  <c r="K33" i="1"/>
  <c r="J33" i="1"/>
  <c r="I33" i="1"/>
  <c r="H33" i="1"/>
  <c r="G33" i="1"/>
  <c r="F33" i="1"/>
  <c r="P30" i="1"/>
  <c r="M30" i="1"/>
  <c r="I30" i="1"/>
  <c r="H30" i="1"/>
  <c r="P29" i="1"/>
  <c r="O29" i="1"/>
  <c r="N29" i="1"/>
  <c r="M29" i="1"/>
  <c r="K29" i="1"/>
  <c r="J29" i="1"/>
  <c r="I29" i="1"/>
  <c r="H29" i="1"/>
  <c r="F29" i="1"/>
  <c r="P27" i="1"/>
  <c r="O27" i="1"/>
  <c r="N27" i="1"/>
  <c r="M27" i="1"/>
  <c r="J27" i="1"/>
  <c r="I27" i="1"/>
  <c r="H27" i="1"/>
  <c r="G27" i="1"/>
  <c r="F27" i="1"/>
  <c r="E24" i="1"/>
  <c r="P24" i="1"/>
  <c r="O24" i="1"/>
  <c r="N24" i="1"/>
  <c r="M24" i="1"/>
  <c r="K24" i="1"/>
  <c r="J24" i="1"/>
  <c r="I24" i="1"/>
  <c r="H24" i="1"/>
  <c r="F24" i="1"/>
  <c r="E23" i="1"/>
  <c r="J23" i="1"/>
  <c r="I23" i="1"/>
  <c r="G23" i="1"/>
  <c r="E22" i="1"/>
  <c r="P22" i="1"/>
  <c r="O22" i="1"/>
  <c r="N22" i="1"/>
  <c r="M22" i="1"/>
  <c r="J22" i="1"/>
  <c r="I22" i="1"/>
  <c r="H22" i="1"/>
  <c r="G22" i="1"/>
  <c r="F22" i="1"/>
  <c r="P21" i="1"/>
  <c r="O21" i="1"/>
  <c r="N21" i="1"/>
  <c r="M21" i="1"/>
  <c r="K21" i="1"/>
  <c r="J21" i="1"/>
  <c r="I21" i="1"/>
  <c r="H21" i="1"/>
  <c r="G21" i="1"/>
  <c r="F21" i="1"/>
  <c r="E20" i="1"/>
  <c r="P20" i="1"/>
  <c r="O20" i="1"/>
  <c r="N20" i="1"/>
  <c r="M20" i="1"/>
  <c r="J20" i="1"/>
  <c r="I20" i="1"/>
  <c r="I13" i="1"/>
  <c r="G20" i="1"/>
  <c r="F20" i="1"/>
  <c r="D11" i="1"/>
  <c r="E11" i="1"/>
  <c r="F11" i="1"/>
  <c r="C25" i="1"/>
  <c r="D25" i="1"/>
  <c r="E25" i="1"/>
  <c r="E47" i="1"/>
  <c r="D44" i="1"/>
  <c r="C47" i="1"/>
  <c r="D47" i="1"/>
  <c r="D31" i="1"/>
  <c r="F31" i="1"/>
  <c r="G31" i="1"/>
  <c r="H31" i="1"/>
  <c r="I31" i="1"/>
  <c r="J31" i="1"/>
  <c r="K31" i="1"/>
  <c r="L31" i="1"/>
  <c r="M31" i="1"/>
  <c r="N31" i="1"/>
  <c r="O31" i="1"/>
  <c r="P31" i="1"/>
  <c r="Y20" i="2"/>
  <c r="X19" i="2"/>
  <c r="X20" i="2"/>
  <c r="W19" i="2"/>
  <c r="W20" i="2"/>
  <c r="V19" i="2"/>
  <c r="V20" i="2"/>
  <c r="U19" i="2"/>
  <c r="U20" i="2"/>
  <c r="T19" i="2"/>
  <c r="T20" i="2"/>
  <c r="S19" i="2"/>
  <c r="S20" i="2"/>
  <c r="R19" i="2"/>
  <c r="R20" i="2"/>
  <c r="Q19" i="2"/>
  <c r="Q20" i="2"/>
  <c r="P19" i="2"/>
  <c r="P20" i="2"/>
  <c r="O19" i="2"/>
  <c r="O20" i="2"/>
  <c r="N19" i="2"/>
  <c r="N20" i="2"/>
  <c r="M19" i="2"/>
  <c r="M20" i="2"/>
  <c r="L19" i="2"/>
  <c r="L20" i="2"/>
  <c r="K19" i="2"/>
  <c r="K20" i="2"/>
  <c r="J19" i="2"/>
  <c r="J20" i="2"/>
  <c r="I19" i="2"/>
  <c r="I20" i="2"/>
  <c r="H19" i="2"/>
  <c r="H20" i="2"/>
  <c r="G19" i="2"/>
  <c r="G20" i="2"/>
  <c r="F19" i="2"/>
  <c r="F20" i="2"/>
  <c r="E19" i="2"/>
  <c r="E20" i="2"/>
  <c r="D19" i="2"/>
  <c r="D20" i="2"/>
  <c r="C19" i="2"/>
  <c r="C20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B19" i="2"/>
  <c r="B20" i="2"/>
  <c r="B22" i="2"/>
  <c r="W23" i="2"/>
  <c r="F25" i="1"/>
  <c r="G25" i="1"/>
  <c r="H25" i="1"/>
  <c r="I25" i="1"/>
  <c r="J25" i="1"/>
  <c r="K25" i="1"/>
  <c r="L25" i="1"/>
  <c r="M25" i="1"/>
  <c r="N25" i="1"/>
  <c r="O25" i="1"/>
  <c r="P25" i="1"/>
  <c r="F16" i="1"/>
  <c r="F18" i="1"/>
  <c r="G16" i="1"/>
  <c r="G18" i="1"/>
  <c r="H16" i="1"/>
  <c r="H18" i="1"/>
  <c r="I16" i="1"/>
  <c r="I18" i="1"/>
  <c r="J16" i="1"/>
  <c r="J18" i="1"/>
  <c r="K18" i="1"/>
  <c r="L18" i="1"/>
  <c r="M16" i="1"/>
  <c r="M18" i="1"/>
  <c r="N16" i="1"/>
  <c r="N18" i="1"/>
  <c r="O16" i="1"/>
  <c r="O18" i="1"/>
  <c r="P16" i="1"/>
  <c r="P18" i="1"/>
  <c r="D12" i="1"/>
  <c r="D14" i="1"/>
  <c r="E12" i="1"/>
  <c r="E14" i="1"/>
  <c r="F12" i="1"/>
  <c r="F14" i="1"/>
  <c r="G11" i="1"/>
  <c r="G12" i="1"/>
  <c r="G13" i="1"/>
  <c r="G14" i="1"/>
  <c r="H11" i="1"/>
  <c r="H12" i="1"/>
  <c r="H14" i="1"/>
  <c r="I11" i="1"/>
  <c r="I12" i="1"/>
  <c r="I14" i="1"/>
  <c r="J11" i="1"/>
  <c r="J12" i="1"/>
  <c r="J13" i="1"/>
  <c r="J14" i="1"/>
  <c r="K11" i="1"/>
  <c r="K12" i="1"/>
  <c r="K14" i="1"/>
  <c r="L14" i="1"/>
  <c r="M11" i="1"/>
  <c r="M12" i="1"/>
  <c r="M14" i="1"/>
  <c r="N11" i="1"/>
  <c r="N12" i="1"/>
  <c r="N14" i="1"/>
  <c r="O11" i="1"/>
  <c r="O12" i="1"/>
  <c r="O14" i="1"/>
  <c r="P11" i="1"/>
  <c r="P12" i="1"/>
  <c r="P14" i="1"/>
  <c r="C14" i="1"/>
</calcChain>
</file>

<file path=xl/sharedStrings.xml><?xml version="1.0" encoding="utf-8"?>
<sst xmlns="http://schemas.openxmlformats.org/spreadsheetml/2006/main" count="501" uniqueCount="138">
  <si>
    <t>Наименование блюда</t>
  </si>
  <si>
    <t>Белки</t>
  </si>
  <si>
    <t>Жиры</t>
  </si>
  <si>
    <t>Углеводы</t>
  </si>
  <si>
    <t>э/ц ккл</t>
  </si>
  <si>
    <t>Витамины, мг на 100 г</t>
  </si>
  <si>
    <t>Минеральные в-ва</t>
  </si>
  <si>
    <t>В1</t>
  </si>
  <si>
    <t>С</t>
  </si>
  <si>
    <t>А</t>
  </si>
  <si>
    <t>Са</t>
  </si>
  <si>
    <t>Р</t>
  </si>
  <si>
    <t>Mg</t>
  </si>
  <si>
    <t>Fe</t>
  </si>
  <si>
    <t>ДЕНЬ № 1</t>
  </si>
  <si>
    <t xml:space="preserve">салат из овощей </t>
  </si>
  <si>
    <t>морковь</t>
  </si>
  <si>
    <t>капуста</t>
  </si>
  <si>
    <t>растит. масло</t>
  </si>
  <si>
    <t>всего грамм</t>
  </si>
  <si>
    <t>нетто</t>
  </si>
  <si>
    <t>отх</t>
  </si>
  <si>
    <t>крупа гречневая</t>
  </si>
  <si>
    <t>масло сливочное</t>
  </si>
  <si>
    <t>каша гречневая</t>
  </si>
  <si>
    <t>мясо говядина</t>
  </si>
  <si>
    <t>рис</t>
  </si>
  <si>
    <t>масло растительное</t>
  </si>
  <si>
    <t>томат</t>
  </si>
  <si>
    <t>количество детей</t>
  </si>
  <si>
    <t>2день</t>
  </si>
  <si>
    <t>Меню</t>
  </si>
  <si>
    <t>Хлеб</t>
  </si>
  <si>
    <t>Соль</t>
  </si>
  <si>
    <t>Курица</t>
  </si>
  <si>
    <t>Картофель</t>
  </si>
  <si>
    <t>Лук</t>
  </si>
  <si>
    <t>Морковь</t>
  </si>
  <si>
    <t>Капуста</t>
  </si>
  <si>
    <t>Свекла</t>
  </si>
  <si>
    <t>Макаронные изд.</t>
  </si>
  <si>
    <t>Пшеничная крупа</t>
  </si>
  <si>
    <t>еленый горошек</t>
  </si>
  <si>
    <t>Гречка</t>
  </si>
  <si>
    <t>Мясо</t>
  </si>
  <si>
    <t>Фарш</t>
  </si>
  <si>
    <t>Яблоки</t>
  </si>
  <si>
    <t>Мука</t>
  </si>
  <si>
    <t>Масло растительное</t>
  </si>
  <si>
    <t>Масло сливочное</t>
  </si>
  <si>
    <t>Сухофрукты</t>
  </si>
  <si>
    <t>Сахар</t>
  </si>
  <si>
    <t>Томат</t>
  </si>
  <si>
    <t>Банан</t>
  </si>
  <si>
    <t>чай</t>
  </si>
  <si>
    <t>горох</t>
  </si>
  <si>
    <t>салат свекольный</t>
  </si>
  <si>
    <t>суп гороховый на к/б</t>
  </si>
  <si>
    <t>хлеб</t>
  </si>
  <si>
    <t>компот из сухофр</t>
  </si>
  <si>
    <t>бананы</t>
  </si>
  <si>
    <t>курица отварная</t>
  </si>
  <si>
    <t xml:space="preserve">                                                                                      </t>
  </si>
  <si>
    <t>Итого на 1 человека</t>
  </si>
  <si>
    <t>Итого к выдаче</t>
  </si>
  <si>
    <t>Цена</t>
  </si>
  <si>
    <t>На сумму:</t>
  </si>
  <si>
    <t>Стоимость д/дня</t>
  </si>
  <si>
    <t>цена</t>
  </si>
  <si>
    <t>Компот</t>
  </si>
  <si>
    <t>сухофрукты</t>
  </si>
  <si>
    <t>сахар</t>
  </si>
  <si>
    <t>яблоки</t>
  </si>
  <si>
    <t>итого</t>
  </si>
  <si>
    <t>ДЕНЬ № 2</t>
  </si>
  <si>
    <t xml:space="preserve">салат свекольный </t>
  </si>
  <si>
    <t>свекла</t>
  </si>
  <si>
    <t>зеленый горох</t>
  </si>
  <si>
    <t>суп гороховый на кур/бул</t>
  </si>
  <si>
    <t>картофель</t>
  </si>
  <si>
    <t>лук</t>
  </si>
  <si>
    <t xml:space="preserve">курица </t>
  </si>
  <si>
    <t>соль</t>
  </si>
  <si>
    <t>ДЕНЬ № 3</t>
  </si>
  <si>
    <t>зел.горох</t>
  </si>
  <si>
    <t>горох лущенный</t>
  </si>
  <si>
    <t>макароны отварные</t>
  </si>
  <si>
    <t>макароны</t>
  </si>
  <si>
    <t>курица в духовке</t>
  </si>
  <si>
    <t>мандарины</t>
  </si>
  <si>
    <t>ДЕНЬ № 4</t>
  </si>
  <si>
    <t>картофельное пюре</t>
  </si>
  <si>
    <t>мука</t>
  </si>
  <si>
    <t>ДЕНЬ № 5</t>
  </si>
  <si>
    <t>хинкальный суп</t>
  </si>
  <si>
    <t>ДЕНЬ № 6</t>
  </si>
  <si>
    <t>ДЕНЬ № 7</t>
  </si>
  <si>
    <t xml:space="preserve">рыба отварная </t>
  </si>
  <si>
    <t>ДЕНЬ № 8</t>
  </si>
  <si>
    <t xml:space="preserve">рыба </t>
  </si>
  <si>
    <t>гуляш из мяса</t>
  </si>
  <si>
    <t>ДЕНЬ № 9</t>
  </si>
  <si>
    <t>ДЕНЬ № 10</t>
  </si>
  <si>
    <t>рисовая каша</t>
  </si>
  <si>
    <t>молоко</t>
  </si>
  <si>
    <t>какао</t>
  </si>
  <si>
    <t>яйцо</t>
  </si>
  <si>
    <t>печенье</t>
  </si>
  <si>
    <t>какао с молоком</t>
  </si>
  <si>
    <t>ДЕНЬ № 11</t>
  </si>
  <si>
    <t>ДЕНЬ № 12</t>
  </si>
  <si>
    <t>Примерное двухнедельное меню для образовательных учреждений администрации МР "Кайтагский район"                                                                         В период с 15.02.2021г.по 27.02.2021г.</t>
  </si>
  <si>
    <t xml:space="preserve"> </t>
  </si>
  <si>
    <t xml:space="preserve">рис отварной </t>
  </si>
  <si>
    <t xml:space="preserve">рис </t>
  </si>
  <si>
    <t>борщ с мясом</t>
  </si>
  <si>
    <t xml:space="preserve">салат овощной </t>
  </si>
  <si>
    <t>салат овощной</t>
  </si>
  <si>
    <t xml:space="preserve">1.салат из овощей </t>
  </si>
  <si>
    <t>2.каша гречневая</t>
  </si>
  <si>
    <t>3.ёжики мясные</t>
  </si>
  <si>
    <t>4.Хлеб</t>
  </si>
  <si>
    <t>5.Компот</t>
  </si>
  <si>
    <t>6.Яблоки</t>
  </si>
  <si>
    <t>7.Соль</t>
  </si>
  <si>
    <t xml:space="preserve"> всего грамм</t>
  </si>
  <si>
    <t xml:space="preserve">Утверждаю:   </t>
  </si>
  <si>
    <t>Начальник ОО и МУ МР"Кайтагский район"</t>
  </si>
  <si>
    <t>Магомедов Ш.Р.</t>
  </si>
  <si>
    <t xml:space="preserve">Согласовано:   </t>
  </si>
  <si>
    <t xml:space="preserve">Начальник ТО Управления Роспотребнадзора </t>
  </si>
  <si>
    <t>по РД в Кайтагском районе</t>
  </si>
  <si>
    <t>Мятов Н.Г.</t>
  </si>
  <si>
    <t>администрации МР"Кайтагский район"</t>
  </si>
  <si>
    <t xml:space="preserve">Утверждаю </t>
  </si>
  <si>
    <t xml:space="preserve">                     Султанов Г.А.</t>
  </si>
  <si>
    <t xml:space="preserve">                           12-дневное меню для школьников 1-4 кл на 2021 год МКОУ "Хунгиянская ООШ"</t>
  </si>
  <si>
    <t xml:space="preserve">Директор школы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</si>
</sst>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Calibri"/>
      <family val="2"/>
    </font>
    <font>
      <b/>
      <sz val="9"/>
      <name val="Times New Roman"/>
      <family val="1"/>
      <charset val="204"/>
    </font>
    <font>
      <b/>
      <sz val="1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</font>
    <font>
      <b/>
      <sz val="14"/>
      <name val="Times New Roman"/>
      <family val="1"/>
      <charset val="204"/>
    </font>
    <font>
      <b/>
      <sz val="14"/>
      <color indexed="8"/>
      <name val="Calibri"/>
      <family val="2"/>
    </font>
    <font>
      <sz val="8"/>
      <name val="Calibri"/>
      <family val="2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38">
    <xf numFmtId="0" fontId="0" fillId="0" borderId="0" xfId="0"/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/>
    </xf>
    <xf numFmtId="0" fontId="7" fillId="2" borderId="1" xfId="1" applyNumberFormat="1" applyFont="1" applyFill="1" applyBorder="1" applyAlignment="1" applyProtection="1">
      <alignment horizontal="center" vertical="center"/>
    </xf>
    <xf numFmtId="0" fontId="9" fillId="0" borderId="1" xfId="1" applyNumberFormat="1" applyFont="1" applyFill="1" applyBorder="1" applyAlignment="1" applyProtection="1">
      <alignment vertical="top"/>
    </xf>
    <xf numFmtId="0" fontId="8" fillId="0" borderId="1" xfId="1" applyNumberFormat="1" applyFont="1" applyFill="1" applyBorder="1" applyAlignment="1" applyProtection="1">
      <alignment horizontal="left" vertical="top" wrapText="1"/>
    </xf>
    <xf numFmtId="0" fontId="11" fillId="2" borderId="1" xfId="1" applyNumberFormat="1" applyFont="1" applyFill="1" applyBorder="1" applyAlignment="1" applyProtection="1">
      <alignment vertical="center" wrapText="1"/>
    </xf>
    <xf numFmtId="0" fontId="10" fillId="0" borderId="2" xfId="1" applyNumberFormat="1" applyFont="1" applyFill="1" applyBorder="1" applyAlignment="1" applyProtection="1">
      <alignment horizontal="left" vertical="top" wrapText="1"/>
    </xf>
    <xf numFmtId="0" fontId="9" fillId="2" borderId="2" xfId="1" applyNumberFormat="1" applyFont="1" applyFill="1" applyBorder="1" applyAlignment="1" applyProtection="1">
      <alignment horizontal="center" vertical="top"/>
    </xf>
    <xf numFmtId="0" fontId="9" fillId="2" borderId="3" xfId="1" applyNumberFormat="1" applyFont="1" applyFill="1" applyBorder="1" applyAlignment="1" applyProtection="1">
      <alignment horizontal="center" vertical="top" wrapText="1"/>
    </xf>
    <xf numFmtId="0" fontId="9" fillId="0" borderId="2" xfId="1" applyNumberFormat="1" applyFont="1" applyFill="1" applyBorder="1" applyAlignment="1" applyProtection="1">
      <alignment vertical="top"/>
    </xf>
    <xf numFmtId="0" fontId="9" fillId="2" borderId="2" xfId="1" applyNumberFormat="1" applyFont="1" applyFill="1" applyBorder="1" applyAlignment="1" applyProtection="1">
      <alignment vertical="top"/>
    </xf>
    <xf numFmtId="0" fontId="0" fillId="0" borderId="1" xfId="0" applyBorder="1"/>
    <xf numFmtId="0" fontId="5" fillId="2" borderId="2" xfId="1" applyNumberFormat="1" applyFont="1" applyFill="1" applyBorder="1" applyAlignment="1" applyProtection="1">
      <alignment horizontal="center" vertical="top"/>
    </xf>
    <xf numFmtId="0" fontId="12" fillId="2" borderId="2" xfId="1" applyNumberFormat="1" applyFont="1" applyFill="1" applyBorder="1" applyAlignment="1" applyProtection="1">
      <alignment horizontal="center" vertical="top" wrapText="1"/>
    </xf>
    <xf numFmtId="2" fontId="0" fillId="0" borderId="1" xfId="0" applyNumberFormat="1" applyBorder="1"/>
    <xf numFmtId="2" fontId="15" fillId="0" borderId="1" xfId="0" applyNumberFormat="1" applyFont="1" applyBorder="1"/>
    <xf numFmtId="164" fontId="0" fillId="0" borderId="1" xfId="0" applyNumberFormat="1" applyBorder="1"/>
    <xf numFmtId="0" fontId="4" fillId="0" borderId="1" xfId="0" applyFont="1" applyBorder="1"/>
    <xf numFmtId="2" fontId="4" fillId="0" borderId="1" xfId="0" applyNumberFormat="1" applyFont="1" applyBorder="1"/>
    <xf numFmtId="0" fontId="14" fillId="0" borderId="0" xfId="0" applyFont="1" applyAlignment="1" applyProtection="1">
      <alignment horizontal="right"/>
      <protection locked="0"/>
    </xf>
    <xf numFmtId="0" fontId="16" fillId="0" borderId="4" xfId="0" applyFont="1" applyBorder="1" applyProtection="1">
      <protection locked="0"/>
    </xf>
    <xf numFmtId="0" fontId="14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textRotation="90" wrapText="1"/>
    </xf>
    <xf numFmtId="0" fontId="14" fillId="0" borderId="1" xfId="0" applyFont="1" applyBorder="1" applyAlignment="1" applyProtection="1">
      <alignment textRotation="90" wrapText="1"/>
      <protection locked="0"/>
    </xf>
    <xf numFmtId="0" fontId="14" fillId="0" borderId="1" xfId="0" applyFont="1" applyBorder="1" applyProtection="1">
      <protection locked="0"/>
    </xf>
    <xf numFmtId="164" fontId="14" fillId="0" borderId="1" xfId="0" applyNumberFormat="1" applyFont="1" applyBorder="1" applyProtection="1">
      <protection locked="0"/>
    </xf>
    <xf numFmtId="164" fontId="14" fillId="0" borderId="5" xfId="0" applyNumberFormat="1" applyFont="1" applyBorder="1" applyProtection="1">
      <protection locked="0"/>
    </xf>
    <xf numFmtId="164" fontId="14" fillId="0" borderId="1" xfId="0" applyNumberFormat="1" applyFont="1" applyBorder="1" applyProtection="1"/>
    <xf numFmtId="2" fontId="14" fillId="0" borderId="1" xfId="0" applyNumberFormat="1" applyFont="1" applyBorder="1" applyProtection="1"/>
    <xf numFmtId="0" fontId="14" fillId="0" borderId="1" xfId="0" applyFont="1" applyBorder="1" applyProtection="1"/>
    <xf numFmtId="2" fontId="14" fillId="0" borderId="6" xfId="0" applyNumberFormat="1" applyFont="1" applyBorder="1" applyAlignment="1" applyProtection="1">
      <alignment horizontal="center"/>
    </xf>
    <xf numFmtId="2" fontId="14" fillId="0" borderId="7" xfId="0" applyNumberFormat="1" applyFont="1" applyBorder="1" applyAlignment="1" applyProtection="1">
      <alignment horizontal="center"/>
    </xf>
    <xf numFmtId="2" fontId="14" fillId="0" borderId="0" xfId="0" applyNumberFormat="1" applyFont="1" applyBorder="1" applyAlignment="1" applyProtection="1">
      <alignment horizontal="center"/>
      <protection locked="0"/>
    </xf>
    <xf numFmtId="2" fontId="3" fillId="0" borderId="1" xfId="0" applyNumberFormat="1" applyFont="1" applyBorder="1"/>
    <xf numFmtId="2" fontId="17" fillId="0" borderId="1" xfId="0" applyNumberFormat="1" applyFont="1" applyBorder="1"/>
    <xf numFmtId="0" fontId="18" fillId="0" borderId="1" xfId="0" applyFont="1" applyBorder="1"/>
    <xf numFmtId="164" fontId="4" fillId="0" borderId="1" xfId="0" applyNumberFormat="1" applyFont="1" applyBorder="1"/>
    <xf numFmtId="2" fontId="0" fillId="0" borderId="0" xfId="0" applyNumberFormat="1" applyBorder="1"/>
    <xf numFmtId="1" fontId="0" fillId="0" borderId="1" xfId="0" applyNumberFormat="1" applyBorder="1"/>
    <xf numFmtId="2" fontId="2" fillId="0" borderId="1" xfId="0" applyNumberFormat="1" applyFont="1" applyBorder="1"/>
    <xf numFmtId="2" fontId="17" fillId="0" borderId="0" xfId="0" applyNumberFormat="1" applyFont="1"/>
    <xf numFmtId="2" fontId="1" fillId="0" borderId="1" xfId="0" applyNumberFormat="1" applyFont="1" applyBorder="1"/>
    <xf numFmtId="0" fontId="19" fillId="0" borderId="1" xfId="1" applyNumberFormat="1" applyFont="1" applyFill="1" applyBorder="1" applyAlignment="1" applyProtection="1">
      <alignment horizontal="left" vertical="top" wrapText="1"/>
    </xf>
    <xf numFmtId="2" fontId="18" fillId="0" borderId="1" xfId="0" applyNumberFormat="1" applyFont="1" applyBorder="1"/>
    <xf numFmtId="2" fontId="20" fillId="0" borderId="1" xfId="0" applyNumberFormat="1" applyFont="1" applyBorder="1"/>
    <xf numFmtId="0" fontId="21" fillId="2" borderId="0" xfId="0" applyFont="1" applyFill="1" applyAlignment="1"/>
    <xf numFmtId="0" fontId="21" fillId="2" borderId="2" xfId="0" applyFont="1" applyFill="1" applyBorder="1" applyAlignment="1"/>
    <xf numFmtId="0" fontId="22" fillId="0" borderId="1" xfId="0" applyFont="1" applyBorder="1"/>
    <xf numFmtId="1" fontId="18" fillId="0" borderId="1" xfId="0" applyNumberFormat="1" applyFont="1" applyBorder="1"/>
    <xf numFmtId="1" fontId="18" fillId="0" borderId="0" xfId="0" applyNumberFormat="1" applyFont="1"/>
    <xf numFmtId="2" fontId="22" fillId="0" borderId="1" xfId="0" applyNumberFormat="1" applyFont="1" applyBorder="1"/>
    <xf numFmtId="2" fontId="22" fillId="0" borderId="0" xfId="0" applyNumberFormat="1" applyFont="1" applyBorder="1"/>
    <xf numFmtId="1" fontId="22" fillId="0" borderId="1" xfId="0" applyNumberFormat="1" applyFont="1" applyBorder="1"/>
    <xf numFmtId="0" fontId="22" fillId="0" borderId="0" xfId="0" applyFont="1"/>
    <xf numFmtId="2" fontId="18" fillId="0" borderId="1" xfId="0" applyNumberFormat="1" applyFont="1" applyBorder="1" applyAlignment="1">
      <alignment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/>
    </xf>
    <xf numFmtId="1" fontId="22" fillId="0" borderId="0" xfId="0" applyNumberFormat="1" applyFont="1" applyBorder="1"/>
    <xf numFmtId="2" fontId="17" fillId="0" borderId="0" xfId="0" applyNumberFormat="1" applyFont="1" applyBorder="1"/>
    <xf numFmtId="2" fontId="15" fillId="0" borderId="0" xfId="0" applyNumberFormat="1" applyFont="1" applyBorder="1"/>
    <xf numFmtId="0" fontId="26" fillId="2" borderId="1" xfId="1" applyNumberFormat="1" applyFont="1" applyFill="1" applyBorder="1" applyAlignment="1" applyProtection="1">
      <alignment vertical="center" wrapText="1"/>
    </xf>
    <xf numFmtId="0" fontId="27" fillId="0" borderId="0" xfId="0" applyFont="1"/>
    <xf numFmtId="0" fontId="24" fillId="0" borderId="0" xfId="0" applyFont="1" applyAlignment="1">
      <alignment vertical="center"/>
    </xf>
    <xf numFmtId="0" fontId="21" fillId="0" borderId="0" xfId="1" applyNumberFormat="1" applyFont="1" applyFill="1" applyBorder="1" applyAlignment="1" applyProtection="1">
      <alignment horizontal="center" vertical="center"/>
    </xf>
    <xf numFmtId="0" fontId="25" fillId="0" borderId="0" xfId="1" applyNumberFormat="1" applyFont="1" applyFill="1" applyBorder="1" applyAlignment="1" applyProtection="1">
      <alignment vertical="center"/>
    </xf>
    <xf numFmtId="0" fontId="25" fillId="2" borderId="0" xfId="1" applyNumberFormat="1" applyFont="1" applyFill="1" applyBorder="1" applyAlignment="1" applyProtection="1">
      <alignment vertical="center"/>
    </xf>
    <xf numFmtId="0" fontId="24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2" fontId="24" fillId="0" borderId="1" xfId="0" applyNumberFormat="1" applyFont="1" applyBorder="1" applyAlignment="1">
      <alignment vertical="center"/>
    </xf>
    <xf numFmtId="164" fontId="24" fillId="0" borderId="1" xfId="0" applyNumberFormat="1" applyFont="1" applyBorder="1" applyAlignment="1">
      <alignment vertical="center"/>
    </xf>
    <xf numFmtId="0" fontId="19" fillId="0" borderId="1" xfId="1" applyNumberFormat="1" applyFont="1" applyFill="1" applyBorder="1" applyAlignment="1" applyProtection="1">
      <alignment horizontal="left" vertical="center" wrapText="1"/>
    </xf>
    <xf numFmtId="2" fontId="19" fillId="0" borderId="1" xfId="0" applyNumberFormat="1" applyFont="1" applyBorder="1" applyAlignment="1">
      <alignment vertical="center"/>
    </xf>
    <xf numFmtId="2" fontId="26" fillId="0" borderId="1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2" fontId="24" fillId="0" borderId="0" xfId="0" applyNumberFormat="1" applyFont="1" applyBorder="1" applyAlignment="1">
      <alignment vertical="center"/>
    </xf>
    <xf numFmtId="0" fontId="21" fillId="2" borderId="1" xfId="0" applyFont="1" applyFill="1" applyBorder="1" applyAlignment="1"/>
    <xf numFmtId="1" fontId="18" fillId="0" borderId="1" xfId="0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0" fontId="29" fillId="0" borderId="0" xfId="0" applyFont="1"/>
    <xf numFmtId="0" fontId="29" fillId="0" borderId="12" xfId="0" applyFont="1" applyBorder="1"/>
    <xf numFmtId="0" fontId="7" fillId="0" borderId="1" xfId="1" applyNumberFormat="1" applyFont="1" applyFill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31" fillId="0" borderId="0" xfId="0" applyFont="1"/>
    <xf numFmtId="0" fontId="30" fillId="0" borderId="0" xfId="0" applyFont="1"/>
    <xf numFmtId="0" fontId="8" fillId="0" borderId="1" xfId="1" applyNumberFormat="1" applyFont="1" applyFill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/>
    </xf>
    <xf numFmtId="0" fontId="21" fillId="2" borderId="1" xfId="0" applyFont="1" applyFill="1" applyBorder="1" applyAlignment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8" fillId="0" borderId="8" xfId="1" applyNumberFormat="1" applyFont="1" applyFill="1" applyBorder="1" applyAlignment="1" applyProtection="1">
      <alignment horizontal="center" vertical="center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8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/>
    </xf>
    <xf numFmtId="0" fontId="7" fillId="0" borderId="8" xfId="1" applyNumberFormat="1" applyFont="1" applyFill="1" applyBorder="1" applyAlignment="1" applyProtection="1">
      <alignment horizontal="center" vertical="center"/>
    </xf>
    <xf numFmtId="0" fontId="21" fillId="0" borderId="0" xfId="1" applyNumberFormat="1" applyFont="1" applyFill="1" applyBorder="1" applyAlignment="1" applyProtection="1">
      <alignment horizontal="left" vertical="center"/>
    </xf>
    <xf numFmtId="0" fontId="21" fillId="0" borderId="2" xfId="1" applyNumberFormat="1" applyFont="1" applyFill="1" applyBorder="1" applyAlignment="1" applyProtection="1">
      <alignment horizontal="center" vertical="center"/>
    </xf>
    <xf numFmtId="0" fontId="21" fillId="0" borderId="8" xfId="1" applyNumberFormat="1" applyFont="1" applyFill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7" fillId="0" borderId="5" xfId="1" applyNumberFormat="1" applyFont="1" applyFill="1" applyBorder="1" applyAlignment="1" applyProtection="1">
      <alignment horizontal="center" vertical="center"/>
    </xf>
    <xf numFmtId="0" fontId="7" fillId="0" borderId="9" xfId="1" applyNumberFormat="1" applyFont="1" applyFill="1" applyBorder="1" applyAlignment="1" applyProtection="1">
      <alignment horizontal="center" vertical="center"/>
    </xf>
    <xf numFmtId="0" fontId="7" fillId="0" borderId="10" xfId="1" applyNumberFormat="1" applyFont="1" applyFill="1" applyBorder="1" applyAlignment="1" applyProtection="1">
      <alignment horizontal="center" vertical="center"/>
    </xf>
    <xf numFmtId="0" fontId="19" fillId="0" borderId="1" xfId="1" applyNumberFormat="1" applyFont="1" applyFill="1" applyBorder="1" applyAlignment="1" applyProtection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1" fontId="18" fillId="0" borderId="11" xfId="0" applyNumberFormat="1" applyFont="1" applyBorder="1" applyAlignment="1">
      <alignment horizontal="center" vertical="center"/>
    </xf>
    <xf numFmtId="1" fontId="18" fillId="0" borderId="8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2" fontId="19" fillId="0" borderId="5" xfId="0" applyNumberFormat="1" applyFont="1" applyBorder="1" applyAlignment="1">
      <alignment horizontal="center" vertical="center"/>
    </xf>
    <xf numFmtId="2" fontId="19" fillId="0" borderId="9" xfId="0" applyNumberFormat="1" applyFont="1" applyBorder="1" applyAlignment="1">
      <alignment horizontal="center" vertical="center"/>
    </xf>
    <xf numFmtId="2" fontId="19" fillId="0" borderId="10" xfId="0" applyNumberFormat="1" applyFont="1" applyBorder="1" applyAlignment="1">
      <alignment horizontal="center" vertical="center"/>
    </xf>
    <xf numFmtId="0" fontId="21" fillId="0" borderId="1" xfId="1" applyNumberFormat="1" applyFont="1" applyFill="1" applyBorder="1" applyAlignment="1" applyProtection="1">
      <alignment horizontal="center" vertical="center"/>
    </xf>
    <xf numFmtId="0" fontId="21" fillId="2" borderId="2" xfId="1" applyNumberFormat="1" applyFont="1" applyFill="1" applyBorder="1" applyAlignment="1" applyProtection="1">
      <alignment horizontal="center" vertical="center"/>
    </xf>
    <xf numFmtId="0" fontId="21" fillId="2" borderId="11" xfId="1" applyNumberFormat="1" applyFont="1" applyFill="1" applyBorder="1" applyAlignment="1" applyProtection="1">
      <alignment horizontal="center" vertical="center"/>
    </xf>
    <xf numFmtId="0" fontId="21" fillId="2" borderId="8" xfId="1" applyNumberFormat="1" applyFont="1" applyFill="1" applyBorder="1" applyAlignment="1" applyProtection="1">
      <alignment horizontal="center" vertical="center"/>
    </xf>
    <xf numFmtId="0" fontId="21" fillId="0" borderId="2" xfId="1" applyNumberFormat="1" applyFont="1" applyFill="1" applyBorder="1" applyAlignment="1" applyProtection="1">
      <alignment horizontal="center" vertical="center" wrapText="1"/>
    </xf>
    <xf numFmtId="0" fontId="21" fillId="0" borderId="11" xfId="1" applyNumberFormat="1" applyFont="1" applyFill="1" applyBorder="1" applyAlignment="1" applyProtection="1">
      <alignment horizontal="center" vertical="center" wrapText="1"/>
    </xf>
    <xf numFmtId="0" fontId="21" fillId="0" borderId="8" xfId="1" applyNumberFormat="1" applyFont="1" applyFill="1" applyBorder="1" applyAlignment="1" applyProtection="1">
      <alignment horizontal="center" vertical="center" wrapText="1"/>
    </xf>
    <xf numFmtId="0" fontId="21" fillId="0" borderId="11" xfId="1" applyNumberFormat="1" applyFont="1" applyFill="1" applyBorder="1" applyAlignment="1" applyProtection="1">
      <alignment horizontal="center" vertical="center"/>
    </xf>
    <xf numFmtId="0" fontId="19" fillId="0" borderId="5" xfId="1" applyNumberFormat="1" applyFont="1" applyFill="1" applyBorder="1" applyAlignment="1" applyProtection="1">
      <alignment horizontal="center" vertical="center" wrapText="1"/>
    </xf>
    <xf numFmtId="0" fontId="19" fillId="0" borderId="9" xfId="1" applyNumberFormat="1" applyFont="1" applyFill="1" applyBorder="1" applyAlignment="1" applyProtection="1">
      <alignment horizontal="center" vertical="center" wrapText="1"/>
    </xf>
    <xf numFmtId="0" fontId="19" fillId="0" borderId="10" xfId="1" applyNumberFormat="1" applyFont="1" applyFill="1" applyBorder="1" applyAlignment="1" applyProtection="1">
      <alignment horizontal="center" vertical="center" wrapText="1"/>
    </xf>
    <xf numFmtId="2" fontId="28" fillId="0" borderId="5" xfId="0" applyNumberFormat="1" applyFont="1" applyBorder="1" applyAlignment="1">
      <alignment horizontal="center" vertical="center"/>
    </xf>
    <xf numFmtId="2" fontId="28" fillId="0" borderId="9" xfId="0" applyNumberFormat="1" applyFont="1" applyBorder="1" applyAlignment="1">
      <alignment horizontal="center" vertical="center"/>
    </xf>
    <xf numFmtId="2" fontId="28" fillId="0" borderId="1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right"/>
    </xf>
    <xf numFmtId="0" fontId="29" fillId="0" borderId="0" xfId="0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114301</xdr:colOff>
      <xdr:row>0</xdr:row>
      <xdr:rowOff>0</xdr:rowOff>
    </xdr:from>
    <xdr:to>
      <xdr:col>14</xdr:col>
      <xdr:colOff>139701</xdr:colOff>
      <xdr:row>6</xdr:row>
      <xdr:rowOff>139700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3601" y="0"/>
          <a:ext cx="196850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7"/>
  <sheetViews>
    <sheetView tabSelected="1" view="pageLayout" topLeftCell="A31" zoomScale="75" zoomScaleNormal="85" zoomScalePageLayoutView="75" workbookViewId="0">
      <selection activeCell="L35" sqref="L35"/>
    </sheetView>
  </sheetViews>
  <sheetFormatPr defaultRowHeight="15" x14ac:dyDescent="0.25"/>
  <cols>
    <col min="1" max="1" width="6" customWidth="1"/>
    <col min="2" max="2" width="25.85546875" customWidth="1"/>
    <col min="3" max="3" width="10.28515625" customWidth="1"/>
    <col min="8" max="8" width="11.5703125" customWidth="1"/>
    <col min="17" max="17" width="10.85546875" customWidth="1"/>
  </cols>
  <sheetData>
    <row r="1" spans="1:17" ht="18.75" x14ac:dyDescent="0.3">
      <c r="J1" s="85" t="s">
        <v>134</v>
      </c>
      <c r="K1" s="86"/>
      <c r="L1" s="86"/>
      <c r="M1" s="86"/>
      <c r="N1" s="86"/>
      <c r="O1" s="86"/>
      <c r="P1" s="86"/>
    </row>
    <row r="2" spans="1:17" ht="18.75" x14ac:dyDescent="0.3">
      <c r="J2" s="85" t="s">
        <v>137</v>
      </c>
      <c r="K2" s="86"/>
      <c r="L2" s="86"/>
      <c r="M2" s="86"/>
      <c r="N2" s="85" t="s">
        <v>135</v>
      </c>
      <c r="O2" s="86"/>
      <c r="P2" s="86"/>
    </row>
    <row r="3" spans="1:17" ht="18.75" x14ac:dyDescent="0.3">
      <c r="J3" s="85"/>
      <c r="K3" s="86"/>
      <c r="L3" s="86"/>
      <c r="M3" s="86"/>
      <c r="N3" s="85"/>
      <c r="O3" s="86"/>
      <c r="P3" s="86"/>
    </row>
    <row r="4" spans="1:17" ht="18.75" x14ac:dyDescent="0.25">
      <c r="A4" s="97" t="s">
        <v>136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</row>
    <row r="5" spans="1:17" ht="13.5" customHeight="1" x14ac:dyDescent="0.3">
      <c r="A5" s="48"/>
      <c r="B5" s="66"/>
      <c r="C5" s="66"/>
      <c r="D5" s="66"/>
      <c r="E5" s="66"/>
      <c r="F5" s="66"/>
      <c r="G5" s="66"/>
      <c r="H5" s="66"/>
      <c r="I5" s="66"/>
      <c r="J5" s="67"/>
      <c r="K5" s="68"/>
      <c r="L5" s="67"/>
      <c r="M5" s="67"/>
      <c r="N5" s="67"/>
      <c r="O5" s="67"/>
      <c r="P5" s="67"/>
      <c r="Q5" s="65"/>
    </row>
    <row r="6" spans="1:17" ht="18.75" x14ac:dyDescent="0.25">
      <c r="A6" s="90"/>
      <c r="B6" s="106" t="s">
        <v>0</v>
      </c>
      <c r="C6" s="123" t="s">
        <v>125</v>
      </c>
      <c r="D6" s="120" t="s">
        <v>21</v>
      </c>
      <c r="E6" s="120" t="s">
        <v>20</v>
      </c>
      <c r="F6" s="98" t="s">
        <v>1</v>
      </c>
      <c r="G6" s="98" t="s">
        <v>2</v>
      </c>
      <c r="H6" s="98" t="s">
        <v>3</v>
      </c>
      <c r="I6" s="98" t="s">
        <v>4</v>
      </c>
      <c r="J6" s="119" t="s">
        <v>5</v>
      </c>
      <c r="K6" s="119"/>
      <c r="L6" s="119"/>
      <c r="M6" s="119" t="s">
        <v>6</v>
      </c>
      <c r="N6" s="119"/>
      <c r="O6" s="119"/>
      <c r="P6" s="119"/>
      <c r="Q6" s="100" t="s">
        <v>68</v>
      </c>
    </row>
    <row r="7" spans="1:17" ht="27.75" customHeight="1" x14ac:dyDescent="0.25">
      <c r="A7" s="90"/>
      <c r="B7" s="106"/>
      <c r="C7" s="124"/>
      <c r="D7" s="121"/>
      <c r="E7" s="121"/>
      <c r="F7" s="126"/>
      <c r="G7" s="126"/>
      <c r="H7" s="126"/>
      <c r="I7" s="126"/>
      <c r="J7" s="98" t="s">
        <v>7</v>
      </c>
      <c r="K7" s="120" t="s">
        <v>8</v>
      </c>
      <c r="L7" s="98" t="s">
        <v>9</v>
      </c>
      <c r="M7" s="98" t="s">
        <v>10</v>
      </c>
      <c r="N7" s="98" t="s">
        <v>11</v>
      </c>
      <c r="O7" s="98" t="s">
        <v>12</v>
      </c>
      <c r="P7" s="98" t="s">
        <v>13</v>
      </c>
      <c r="Q7" s="101"/>
    </row>
    <row r="8" spans="1:17" ht="25.5" customHeight="1" x14ac:dyDescent="0.3">
      <c r="A8" s="78"/>
      <c r="B8" s="73" t="s">
        <v>14</v>
      </c>
      <c r="C8" s="125"/>
      <c r="D8" s="122"/>
      <c r="E8" s="122"/>
      <c r="F8" s="99"/>
      <c r="G8" s="99"/>
      <c r="H8" s="99"/>
      <c r="I8" s="99"/>
      <c r="J8" s="99"/>
      <c r="K8" s="122"/>
      <c r="L8" s="99"/>
      <c r="M8" s="99"/>
      <c r="N8" s="99"/>
      <c r="O8" s="99"/>
      <c r="P8" s="99"/>
      <c r="Q8" s="102"/>
    </row>
    <row r="9" spans="1:17" ht="0.75" hidden="1" customHeight="1" x14ac:dyDescent="0.3">
      <c r="A9" s="50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</row>
    <row r="10" spans="1:17" ht="19.5" customHeight="1" x14ac:dyDescent="0.25">
      <c r="A10" s="127" t="s">
        <v>118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9"/>
    </row>
    <row r="11" spans="1:17" ht="22.5" customHeight="1" x14ac:dyDescent="0.25">
      <c r="A11" s="107">
        <v>1</v>
      </c>
      <c r="B11" s="63" t="s">
        <v>16</v>
      </c>
      <c r="C11" s="71">
        <v>20</v>
      </c>
      <c r="D11" s="71">
        <f>C11*0.2</f>
        <v>4</v>
      </c>
      <c r="E11" s="71">
        <f>C11-D11</f>
        <v>16</v>
      </c>
      <c r="F11" s="71">
        <f>E11*1.3%</f>
        <v>0.20800000000000002</v>
      </c>
      <c r="G11" s="72">
        <f>E11*0.001</f>
        <v>1.6E-2</v>
      </c>
      <c r="H11" s="71">
        <f>E11*0.072</f>
        <v>1.1519999999999999</v>
      </c>
      <c r="I11" s="71">
        <f>E11*0.3</f>
        <v>4.8</v>
      </c>
      <c r="J11" s="71">
        <f>E11*0.06%</f>
        <v>9.5999999999999992E-3</v>
      </c>
      <c r="K11" s="71">
        <f>E11*5%</f>
        <v>0.8</v>
      </c>
      <c r="L11" s="71">
        <v>0</v>
      </c>
      <c r="M11" s="71">
        <f>E11*51%</f>
        <v>8.16</v>
      </c>
      <c r="N11" s="71">
        <f>E11*55%</f>
        <v>8.8000000000000007</v>
      </c>
      <c r="O11" s="71">
        <f>E11*38%</f>
        <v>6.08</v>
      </c>
      <c r="P11" s="71">
        <f>E11*0.7%</f>
        <v>0.11199999999999999</v>
      </c>
      <c r="Q11" s="69">
        <f>C11/1000*60</f>
        <v>1.2</v>
      </c>
    </row>
    <row r="12" spans="1:17" ht="22.5" customHeight="1" x14ac:dyDescent="0.25">
      <c r="A12" s="108"/>
      <c r="B12" s="63" t="s">
        <v>17</v>
      </c>
      <c r="C12" s="71">
        <v>30</v>
      </c>
      <c r="D12" s="71">
        <f>C12*0.2</f>
        <v>6</v>
      </c>
      <c r="E12" s="71">
        <f>C12-D12</f>
        <v>24</v>
      </c>
      <c r="F12" s="71">
        <f>E12*0.018</f>
        <v>0.43199999999999994</v>
      </c>
      <c r="G12" s="72">
        <f>E12*0.001</f>
        <v>2.4E-2</v>
      </c>
      <c r="H12" s="71">
        <f>E12*0.047</f>
        <v>1.1280000000000001</v>
      </c>
      <c r="I12" s="71">
        <f>E12*0.27</f>
        <v>6.48</v>
      </c>
      <c r="J12" s="71">
        <f>E12*0.03%</f>
        <v>7.1999999999999998E-3</v>
      </c>
      <c r="K12" s="71">
        <f>E12*45%</f>
        <v>10.8</v>
      </c>
      <c r="L12" s="71">
        <v>0</v>
      </c>
      <c r="M12" s="71">
        <f>E12*48%</f>
        <v>11.52</v>
      </c>
      <c r="N12" s="71">
        <f>E12*31%</f>
        <v>7.4399999999999995</v>
      </c>
      <c r="O12" s="71">
        <f>E12*16%</f>
        <v>3.84</v>
      </c>
      <c r="P12" s="71">
        <f>E12*0.6%</f>
        <v>0.14400000000000002</v>
      </c>
      <c r="Q12" s="69">
        <f>C12/1000*30</f>
        <v>0.89999999999999991</v>
      </c>
    </row>
    <row r="13" spans="1:17" ht="22.5" customHeight="1" x14ac:dyDescent="0.25">
      <c r="A13" s="108"/>
      <c r="B13" s="63" t="s">
        <v>18</v>
      </c>
      <c r="C13" s="71">
        <v>5</v>
      </c>
      <c r="D13" s="71">
        <v>0</v>
      </c>
      <c r="E13" s="71">
        <v>5</v>
      </c>
      <c r="F13" s="71">
        <v>0</v>
      </c>
      <c r="G13" s="72">
        <f>E13*0.999</f>
        <v>4.9950000000000001</v>
      </c>
      <c r="H13" s="71">
        <v>0</v>
      </c>
      <c r="I13" s="71">
        <f>E13*8.99%</f>
        <v>0.44950000000000001</v>
      </c>
      <c r="J13" s="71">
        <f>E13*0.06%</f>
        <v>2.9999999999999996E-3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69">
        <f>C13/1000*100</f>
        <v>0.5</v>
      </c>
    </row>
    <row r="14" spans="1:17" ht="22.5" customHeight="1" x14ac:dyDescent="0.25">
      <c r="A14" s="109"/>
      <c r="B14" s="73" t="s">
        <v>73</v>
      </c>
      <c r="C14" s="74">
        <f>SUM(C11:C13)</f>
        <v>55</v>
      </c>
      <c r="D14" s="74">
        <f t="shared" ref="D14:Q14" si="0">SUM(D11:D13)</f>
        <v>10</v>
      </c>
      <c r="E14" s="74">
        <f t="shared" si="0"/>
        <v>45</v>
      </c>
      <c r="F14" s="74">
        <f t="shared" si="0"/>
        <v>0.6399999999999999</v>
      </c>
      <c r="G14" s="74">
        <f t="shared" si="0"/>
        <v>5.0350000000000001</v>
      </c>
      <c r="H14" s="74">
        <f t="shared" si="0"/>
        <v>2.2800000000000002</v>
      </c>
      <c r="I14" s="74">
        <f t="shared" si="0"/>
        <v>11.729500000000002</v>
      </c>
      <c r="J14" s="74">
        <f t="shared" si="0"/>
        <v>1.9799999999999998E-2</v>
      </c>
      <c r="K14" s="74">
        <f t="shared" si="0"/>
        <v>11.600000000000001</v>
      </c>
      <c r="L14" s="74">
        <f t="shared" si="0"/>
        <v>0</v>
      </c>
      <c r="M14" s="74">
        <f t="shared" si="0"/>
        <v>19.68</v>
      </c>
      <c r="N14" s="74">
        <f t="shared" si="0"/>
        <v>16.240000000000002</v>
      </c>
      <c r="O14" s="74">
        <f t="shared" si="0"/>
        <v>9.92</v>
      </c>
      <c r="P14" s="74">
        <f t="shared" si="0"/>
        <v>0.25600000000000001</v>
      </c>
      <c r="Q14" s="74">
        <f t="shared" si="0"/>
        <v>2.5999999999999996</v>
      </c>
    </row>
    <row r="15" spans="1:17" ht="18.75" customHeight="1" x14ac:dyDescent="0.25">
      <c r="A15" s="113" t="s">
        <v>119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5"/>
    </row>
    <row r="16" spans="1:17" ht="22.5" customHeight="1" x14ac:dyDescent="0.25">
      <c r="A16" s="107">
        <v>2</v>
      </c>
      <c r="B16" s="69" t="s">
        <v>22</v>
      </c>
      <c r="C16" s="71">
        <v>50</v>
      </c>
      <c r="D16" s="71">
        <v>0</v>
      </c>
      <c r="E16" s="71">
        <v>50</v>
      </c>
      <c r="F16" s="71">
        <f>E16*12.6%</f>
        <v>6.3</v>
      </c>
      <c r="G16" s="71">
        <f>E16*3.3%</f>
        <v>1.6500000000000001</v>
      </c>
      <c r="H16" s="71">
        <f>E16*62.1%</f>
        <v>31.05</v>
      </c>
      <c r="I16" s="71">
        <f>E16*335%</f>
        <v>167.5</v>
      </c>
      <c r="J16" s="71">
        <f>E16*0.43%</f>
        <v>0.215</v>
      </c>
      <c r="K16" s="71">
        <v>0</v>
      </c>
      <c r="L16" s="71">
        <v>0</v>
      </c>
      <c r="M16" s="71">
        <f>E16*20%</f>
        <v>10</v>
      </c>
      <c r="N16" s="71">
        <f>E16*298%</f>
        <v>149</v>
      </c>
      <c r="O16" s="71">
        <f>E16*200%</f>
        <v>100</v>
      </c>
      <c r="P16" s="71">
        <f>E16*6.7%</f>
        <v>3.35</v>
      </c>
      <c r="Q16" s="75">
        <f>C16/1000*80</f>
        <v>4</v>
      </c>
    </row>
    <row r="17" spans="1:17" ht="22.5" customHeight="1" x14ac:dyDescent="0.25">
      <c r="A17" s="108"/>
      <c r="B17" s="69" t="s">
        <v>23</v>
      </c>
      <c r="C17" s="71">
        <v>10</v>
      </c>
      <c r="D17" s="71">
        <v>0</v>
      </c>
      <c r="E17" s="71">
        <v>10</v>
      </c>
      <c r="F17" s="71">
        <f>E17*0.5%</f>
        <v>0.05</v>
      </c>
      <c r="G17" s="71">
        <f>E17*82.5%</f>
        <v>8.25</v>
      </c>
      <c r="H17" s="71">
        <f>E17*0.8%</f>
        <v>0.08</v>
      </c>
      <c r="I17" s="71">
        <f>E17*748%</f>
        <v>74.800000000000011</v>
      </c>
      <c r="J17" s="71">
        <v>0</v>
      </c>
      <c r="K17" s="71">
        <v>0</v>
      </c>
      <c r="L17" s="71">
        <f>E17*0.59%</f>
        <v>5.8999999999999997E-2</v>
      </c>
      <c r="M17" s="71">
        <f>E17*12%</f>
        <v>1.2</v>
      </c>
      <c r="N17" s="71">
        <f>E17*19%</f>
        <v>1.9</v>
      </c>
      <c r="O17" s="71">
        <f>E17*0.4%</f>
        <v>0.04</v>
      </c>
      <c r="P17" s="71">
        <f>E17*0.2%</f>
        <v>0.02</v>
      </c>
      <c r="Q17" s="75">
        <f>C17/1000*300</f>
        <v>3</v>
      </c>
    </row>
    <row r="18" spans="1:17" ht="22.5" customHeight="1" x14ac:dyDescent="0.25">
      <c r="A18" s="109"/>
      <c r="B18" s="70" t="s">
        <v>73</v>
      </c>
      <c r="C18" s="74">
        <v>60</v>
      </c>
      <c r="D18" s="74">
        <v>0</v>
      </c>
      <c r="E18" s="74">
        <v>180</v>
      </c>
      <c r="F18" s="74">
        <f t="shared" ref="F18:Q18" si="1">SUM(F16:F17)</f>
        <v>6.35</v>
      </c>
      <c r="G18" s="74">
        <f t="shared" si="1"/>
        <v>9.9</v>
      </c>
      <c r="H18" s="74">
        <f t="shared" si="1"/>
        <v>31.13</v>
      </c>
      <c r="I18" s="74">
        <f t="shared" si="1"/>
        <v>242.3</v>
      </c>
      <c r="J18" s="74">
        <f t="shared" si="1"/>
        <v>0.215</v>
      </c>
      <c r="K18" s="74">
        <f t="shared" si="1"/>
        <v>0</v>
      </c>
      <c r="L18" s="74">
        <f t="shared" si="1"/>
        <v>5.8999999999999997E-2</v>
      </c>
      <c r="M18" s="74">
        <f t="shared" si="1"/>
        <v>11.2</v>
      </c>
      <c r="N18" s="74">
        <f t="shared" si="1"/>
        <v>150.9</v>
      </c>
      <c r="O18" s="74">
        <f t="shared" si="1"/>
        <v>100.04</v>
      </c>
      <c r="P18" s="74">
        <f t="shared" si="1"/>
        <v>3.37</v>
      </c>
      <c r="Q18" s="74">
        <f t="shared" si="1"/>
        <v>7</v>
      </c>
    </row>
    <row r="19" spans="1:17" ht="15.75" customHeight="1" x14ac:dyDescent="0.25">
      <c r="A19" s="116" t="s">
        <v>120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8"/>
    </row>
    <row r="20" spans="1:17" ht="22.5" customHeight="1" x14ac:dyDescent="0.25">
      <c r="A20" s="110">
        <v>3</v>
      </c>
      <c r="B20" s="69" t="s">
        <v>25</v>
      </c>
      <c r="C20" s="71">
        <v>50</v>
      </c>
      <c r="D20" s="71">
        <v>0</v>
      </c>
      <c r="E20" s="71">
        <f>SUM(C20:D20)</f>
        <v>50</v>
      </c>
      <c r="F20" s="71">
        <f>E20*18.6%</f>
        <v>9.3000000000000007</v>
      </c>
      <c r="G20" s="71">
        <f>E20*16%</f>
        <v>8</v>
      </c>
      <c r="H20" s="71">
        <v>0</v>
      </c>
      <c r="I20" s="71">
        <f>E20*218%</f>
        <v>109.00000000000001</v>
      </c>
      <c r="J20" s="71">
        <f>E20*0.06%</f>
        <v>0.03</v>
      </c>
      <c r="K20" s="71">
        <v>0</v>
      </c>
      <c r="L20" s="71">
        <v>0</v>
      </c>
      <c r="M20" s="71">
        <f>E20*9%</f>
        <v>4.5</v>
      </c>
      <c r="N20" s="71">
        <f>E20*188%</f>
        <v>94</v>
      </c>
      <c r="O20" s="71">
        <f>E20*22%</f>
        <v>11</v>
      </c>
      <c r="P20" s="71">
        <f>E20*2.7%</f>
        <v>1.35</v>
      </c>
      <c r="Q20" s="71">
        <f>C20/1000*600</f>
        <v>30</v>
      </c>
    </row>
    <row r="21" spans="1:17" ht="22.5" customHeight="1" x14ac:dyDescent="0.25">
      <c r="A21" s="111"/>
      <c r="B21" s="69" t="s">
        <v>16</v>
      </c>
      <c r="C21" s="71">
        <v>10</v>
      </c>
      <c r="D21" s="71">
        <v>2</v>
      </c>
      <c r="E21" s="71">
        <v>8</v>
      </c>
      <c r="F21" s="71">
        <f>E21*1.3%</f>
        <v>0.10400000000000001</v>
      </c>
      <c r="G21" s="71">
        <f>E315*0.1%</f>
        <v>1.4999999999999999E-2</v>
      </c>
      <c r="H21" s="71">
        <f>E21*7.2%</f>
        <v>0.57600000000000007</v>
      </c>
      <c r="I21" s="71">
        <f>E21*30%</f>
        <v>2.4</v>
      </c>
      <c r="J21" s="71">
        <f>E21*0.06%</f>
        <v>4.7999999999999996E-3</v>
      </c>
      <c r="K21" s="71">
        <f>E21*5%</f>
        <v>0.4</v>
      </c>
      <c r="L21" s="71">
        <v>0</v>
      </c>
      <c r="M21" s="71">
        <f>E21*51%</f>
        <v>4.08</v>
      </c>
      <c r="N21" s="71">
        <f>E21*55%</f>
        <v>4.4000000000000004</v>
      </c>
      <c r="O21" s="71">
        <f>E21*38%</f>
        <v>3.04</v>
      </c>
      <c r="P21" s="71">
        <f>E21*0.7%</f>
        <v>5.5999999999999994E-2</v>
      </c>
      <c r="Q21" s="71">
        <f>C21/1000*60</f>
        <v>0.6</v>
      </c>
    </row>
    <row r="22" spans="1:17" ht="22.5" customHeight="1" x14ac:dyDescent="0.25">
      <c r="A22" s="111"/>
      <c r="B22" s="69" t="s">
        <v>26</v>
      </c>
      <c r="C22" s="71">
        <v>8</v>
      </c>
      <c r="D22" s="71">
        <v>0</v>
      </c>
      <c r="E22" s="71">
        <f>SUM(C22:D22)</f>
        <v>8</v>
      </c>
      <c r="F22" s="71">
        <f>E22*7%</f>
        <v>0.56000000000000005</v>
      </c>
      <c r="G22" s="71">
        <f>E22*1%</f>
        <v>0.08</v>
      </c>
      <c r="H22" s="71">
        <f>E22*71.4%</f>
        <v>5.7120000000000006</v>
      </c>
      <c r="I22" s="71">
        <f>E22*330%</f>
        <v>26.4</v>
      </c>
      <c r="J22" s="71">
        <f>E22*0.08%</f>
        <v>6.4000000000000003E-3</v>
      </c>
      <c r="K22" s="71">
        <v>0</v>
      </c>
      <c r="L22" s="71">
        <v>0</v>
      </c>
      <c r="M22" s="71">
        <f>E22*8%</f>
        <v>0.64</v>
      </c>
      <c r="N22" s="71">
        <f>E22*150%</f>
        <v>12</v>
      </c>
      <c r="O22" s="71">
        <f>E22*50%</f>
        <v>4</v>
      </c>
      <c r="P22" s="71">
        <f>E22*1%</f>
        <v>0.08</v>
      </c>
      <c r="Q22" s="71">
        <f>C22/1000*75</f>
        <v>0.6</v>
      </c>
    </row>
    <row r="23" spans="1:17" ht="22.5" customHeight="1" x14ac:dyDescent="0.25">
      <c r="A23" s="111"/>
      <c r="B23" s="69" t="s">
        <v>27</v>
      </c>
      <c r="C23" s="71">
        <v>5</v>
      </c>
      <c r="D23" s="71">
        <v>0</v>
      </c>
      <c r="E23" s="71">
        <f>SUM(C23:D23)</f>
        <v>5</v>
      </c>
      <c r="F23" s="71">
        <v>0</v>
      </c>
      <c r="G23" s="72">
        <f>E23*0.999</f>
        <v>4.9950000000000001</v>
      </c>
      <c r="H23" s="71">
        <v>0</v>
      </c>
      <c r="I23" s="71">
        <f>E23*8.99%</f>
        <v>0.44950000000000001</v>
      </c>
      <c r="J23" s="71">
        <f>E23*0.06%</f>
        <v>2.9999999999999996E-3</v>
      </c>
      <c r="K23" s="71">
        <v>0</v>
      </c>
      <c r="L23" s="71">
        <v>0</v>
      </c>
      <c r="M23" s="71">
        <v>0</v>
      </c>
      <c r="N23" s="71">
        <v>0</v>
      </c>
      <c r="O23" s="71">
        <v>0</v>
      </c>
      <c r="P23" s="71">
        <v>0</v>
      </c>
      <c r="Q23" s="71">
        <f>C23/1000*100</f>
        <v>0.5</v>
      </c>
    </row>
    <row r="24" spans="1:17" ht="22.5" customHeight="1" x14ac:dyDescent="0.25">
      <c r="A24" s="111"/>
      <c r="B24" s="69" t="s">
        <v>28</v>
      </c>
      <c r="C24" s="71">
        <v>3</v>
      </c>
      <c r="D24" s="71">
        <v>0</v>
      </c>
      <c r="E24" s="71">
        <f>SUM(C24:D24)</f>
        <v>3</v>
      </c>
      <c r="F24" s="71">
        <f>E24*1%</f>
        <v>0.03</v>
      </c>
      <c r="G24" s="71">
        <v>0</v>
      </c>
      <c r="H24" s="71">
        <f>E24*3.5%</f>
        <v>0.10500000000000001</v>
      </c>
      <c r="I24" s="71">
        <f>E24*19%</f>
        <v>0.57000000000000006</v>
      </c>
      <c r="J24" s="71">
        <f>E24*0.03%</f>
        <v>8.9999999999999998E-4</v>
      </c>
      <c r="K24" s="71">
        <f>E24*10%</f>
        <v>0.30000000000000004</v>
      </c>
      <c r="L24" s="71">
        <v>0</v>
      </c>
      <c r="M24" s="71">
        <f>C24*7%</f>
        <v>0.21000000000000002</v>
      </c>
      <c r="N24" s="71">
        <f>E24*32%</f>
        <v>0.96</v>
      </c>
      <c r="O24" s="71">
        <f>E24*12%</f>
        <v>0.36</v>
      </c>
      <c r="P24" s="71">
        <f>E24*0.7%</f>
        <v>2.0999999999999998E-2</v>
      </c>
      <c r="Q24" s="71">
        <f>C24/1000*180</f>
        <v>0.54</v>
      </c>
    </row>
    <row r="25" spans="1:17" ht="22.5" customHeight="1" x14ac:dyDescent="0.25">
      <c r="A25" s="112"/>
      <c r="B25" s="74" t="s">
        <v>73</v>
      </c>
      <c r="C25" s="74">
        <f>SUM(C20:C24)</f>
        <v>76</v>
      </c>
      <c r="D25" s="74">
        <f t="shared" ref="D25:Q25" si="2">SUM(D20:D24)</f>
        <v>2</v>
      </c>
      <c r="E25" s="74">
        <f>SUM(C25:D25)</f>
        <v>78</v>
      </c>
      <c r="F25" s="74">
        <f t="shared" si="2"/>
        <v>9.9939999999999998</v>
      </c>
      <c r="G25" s="74">
        <f t="shared" si="2"/>
        <v>13.09</v>
      </c>
      <c r="H25" s="74">
        <f t="shared" si="2"/>
        <v>6.3930000000000007</v>
      </c>
      <c r="I25" s="74">
        <f t="shared" si="2"/>
        <v>138.81950000000001</v>
      </c>
      <c r="J25" s="74">
        <f t="shared" si="2"/>
        <v>4.5100000000000001E-2</v>
      </c>
      <c r="K25" s="74">
        <f t="shared" si="2"/>
        <v>0.70000000000000007</v>
      </c>
      <c r="L25" s="74">
        <f t="shared" si="2"/>
        <v>0</v>
      </c>
      <c r="M25" s="74">
        <f t="shared" si="2"/>
        <v>9.4300000000000015</v>
      </c>
      <c r="N25" s="74">
        <f t="shared" si="2"/>
        <v>111.36</v>
      </c>
      <c r="O25" s="74">
        <f t="shared" si="2"/>
        <v>18.399999999999999</v>
      </c>
      <c r="P25" s="74">
        <f t="shared" si="2"/>
        <v>1.5070000000000001</v>
      </c>
      <c r="Q25" s="74">
        <f t="shared" si="2"/>
        <v>32.24</v>
      </c>
    </row>
    <row r="26" spans="1:17" ht="16.5" customHeight="1" x14ac:dyDescent="0.25">
      <c r="A26" s="130" t="s">
        <v>121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2"/>
    </row>
    <row r="27" spans="1:17" ht="22.5" customHeight="1" x14ac:dyDescent="0.25">
      <c r="A27" s="79">
        <v>4</v>
      </c>
      <c r="B27" s="74" t="s">
        <v>73</v>
      </c>
      <c r="C27" s="74">
        <v>30</v>
      </c>
      <c r="D27" s="74">
        <v>0</v>
      </c>
      <c r="E27" s="74">
        <v>30</v>
      </c>
      <c r="F27" s="74">
        <f>E27*7.9%</f>
        <v>2.37</v>
      </c>
      <c r="G27" s="74">
        <f>E27*1%</f>
        <v>0.3</v>
      </c>
      <c r="H27" s="74">
        <f>E27*48.1%</f>
        <v>14.430000000000001</v>
      </c>
      <c r="I27" s="74">
        <f>E27*239%</f>
        <v>71.7</v>
      </c>
      <c r="J27" s="74">
        <f>E27*0.16%</f>
        <v>4.8000000000000001E-2</v>
      </c>
      <c r="K27" s="74">
        <v>0</v>
      </c>
      <c r="L27" s="74">
        <v>0</v>
      </c>
      <c r="M27" s="74">
        <f>E27*23%</f>
        <v>6.9</v>
      </c>
      <c r="N27" s="74">
        <f>E27*87%</f>
        <v>26.1</v>
      </c>
      <c r="O27" s="74">
        <f>E27*33%</f>
        <v>9.9</v>
      </c>
      <c r="P27" s="74">
        <f>E27*2%</f>
        <v>0.6</v>
      </c>
      <c r="Q27" s="74">
        <f>C27/1000*50</f>
        <v>1.5</v>
      </c>
    </row>
    <row r="28" spans="1:17" ht="15.75" customHeight="1" x14ac:dyDescent="0.25">
      <c r="A28" s="130" t="s">
        <v>122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2"/>
    </row>
    <row r="29" spans="1:17" ht="22.5" customHeight="1" x14ac:dyDescent="0.25">
      <c r="A29" s="110">
        <v>5</v>
      </c>
      <c r="B29" s="71" t="s">
        <v>70</v>
      </c>
      <c r="C29" s="71">
        <v>15</v>
      </c>
      <c r="D29" s="71">
        <v>0</v>
      </c>
      <c r="E29" s="71">
        <v>15</v>
      </c>
      <c r="F29" s="71">
        <f>E29*5.2%</f>
        <v>0.78</v>
      </c>
      <c r="G29" s="71">
        <v>0</v>
      </c>
      <c r="H29" s="71">
        <f>E29*55%</f>
        <v>8.25</v>
      </c>
      <c r="I29" s="71">
        <f>E29*234%</f>
        <v>35.099999999999994</v>
      </c>
      <c r="J29" s="71">
        <f>E29*0.1%</f>
        <v>1.4999999999999999E-2</v>
      </c>
      <c r="K29" s="71">
        <f>E29*4%</f>
        <v>0.6</v>
      </c>
      <c r="L29" s="71">
        <v>0</v>
      </c>
      <c r="M29" s="71">
        <f>E29*160%</f>
        <v>24</v>
      </c>
      <c r="N29" s="71">
        <f>E29*146%</f>
        <v>21.9</v>
      </c>
      <c r="O29" s="71">
        <f>E29*105%</f>
        <v>15.75</v>
      </c>
      <c r="P29" s="71">
        <f>E29*3.2%</f>
        <v>0.48</v>
      </c>
      <c r="Q29" s="71">
        <f>C29/1000*600</f>
        <v>9</v>
      </c>
    </row>
    <row r="30" spans="1:17" ht="22.5" customHeight="1" x14ac:dyDescent="0.25">
      <c r="A30" s="111"/>
      <c r="B30" s="71" t="s">
        <v>71</v>
      </c>
      <c r="C30" s="71">
        <v>10</v>
      </c>
      <c r="D30" s="71">
        <v>0</v>
      </c>
      <c r="E30" s="71">
        <v>10</v>
      </c>
      <c r="F30" s="71">
        <v>0</v>
      </c>
      <c r="G30" s="71">
        <v>0</v>
      </c>
      <c r="H30" s="71">
        <f>E30*99.8%</f>
        <v>9.98</v>
      </c>
      <c r="I30" s="71">
        <f>E30*379%</f>
        <v>37.9</v>
      </c>
      <c r="J30" s="71">
        <v>0</v>
      </c>
      <c r="K30" s="71">
        <v>0</v>
      </c>
      <c r="L30" s="71">
        <v>0</v>
      </c>
      <c r="M30" s="71">
        <f>E30*2%</f>
        <v>0.2</v>
      </c>
      <c r="N30" s="71">
        <v>0</v>
      </c>
      <c r="O30" s="71">
        <v>0</v>
      </c>
      <c r="P30" s="71">
        <f>E30*0.3%</f>
        <v>0.03</v>
      </c>
      <c r="Q30" s="71">
        <f>C30/1000*60</f>
        <v>0.6</v>
      </c>
    </row>
    <row r="31" spans="1:17" ht="22.5" customHeight="1" x14ac:dyDescent="0.25">
      <c r="A31" s="112"/>
      <c r="B31" s="74" t="s">
        <v>73</v>
      </c>
      <c r="C31" s="74">
        <v>25</v>
      </c>
      <c r="D31" s="74">
        <f t="shared" ref="D31:P31" si="3">SUM(D29:D30)</f>
        <v>0</v>
      </c>
      <c r="E31" s="74">
        <v>150</v>
      </c>
      <c r="F31" s="74">
        <f t="shared" si="3"/>
        <v>0.78</v>
      </c>
      <c r="G31" s="74">
        <f t="shared" si="3"/>
        <v>0</v>
      </c>
      <c r="H31" s="74">
        <f t="shared" si="3"/>
        <v>18.23</v>
      </c>
      <c r="I31" s="74">
        <f t="shared" si="3"/>
        <v>73</v>
      </c>
      <c r="J31" s="74">
        <f t="shared" si="3"/>
        <v>1.4999999999999999E-2</v>
      </c>
      <c r="K31" s="74">
        <f t="shared" si="3"/>
        <v>0.6</v>
      </c>
      <c r="L31" s="74">
        <f t="shared" si="3"/>
        <v>0</v>
      </c>
      <c r="M31" s="74">
        <f t="shared" si="3"/>
        <v>24.2</v>
      </c>
      <c r="N31" s="74">
        <f t="shared" si="3"/>
        <v>21.9</v>
      </c>
      <c r="O31" s="74">
        <f t="shared" si="3"/>
        <v>15.75</v>
      </c>
      <c r="P31" s="74">
        <f t="shared" si="3"/>
        <v>0.51</v>
      </c>
      <c r="Q31" s="74">
        <f>SUM(Q29:Q30)</f>
        <v>9.6</v>
      </c>
    </row>
    <row r="32" spans="1:17" ht="22.5" customHeight="1" x14ac:dyDescent="0.25">
      <c r="A32" s="130" t="s">
        <v>123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2"/>
    </row>
    <row r="33" spans="1:17" ht="22.5" customHeight="1" x14ac:dyDescent="0.25">
      <c r="A33" s="79">
        <v>6</v>
      </c>
      <c r="B33" s="74" t="s">
        <v>73</v>
      </c>
      <c r="C33" s="74">
        <v>80</v>
      </c>
      <c r="D33" s="74">
        <v>0</v>
      </c>
      <c r="E33" s="74">
        <v>80</v>
      </c>
      <c r="F33" s="74">
        <f>E33*0.4%</f>
        <v>0.32</v>
      </c>
      <c r="G33" s="74">
        <f>E33*0.4%</f>
        <v>0.32</v>
      </c>
      <c r="H33" s="74">
        <f>E33*9.8%</f>
        <v>7.84</v>
      </c>
      <c r="I33" s="74">
        <f>E33*45%</f>
        <v>36</v>
      </c>
      <c r="J33" s="74">
        <f>E33*0.03%</f>
        <v>2.3999999999999997E-2</v>
      </c>
      <c r="K33" s="74">
        <f>E33*13%</f>
        <v>10.4</v>
      </c>
      <c r="L33" s="74">
        <v>0</v>
      </c>
      <c r="M33" s="74">
        <f>E33*16%</f>
        <v>12.8</v>
      </c>
      <c r="N33" s="74">
        <f>E33*11%</f>
        <v>8.8000000000000007</v>
      </c>
      <c r="O33" s="74">
        <f>E33*9%</f>
        <v>7.1999999999999993</v>
      </c>
      <c r="P33" s="74">
        <f>E33*2.2%</f>
        <v>1.7600000000000002</v>
      </c>
      <c r="Q33" s="74">
        <f>C33/1000*100</f>
        <v>8</v>
      </c>
    </row>
    <row r="34" spans="1:17" ht="22.5" customHeight="1" x14ac:dyDescent="0.25">
      <c r="A34" s="116" t="s">
        <v>124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8"/>
    </row>
    <row r="35" spans="1:17" ht="22.5" customHeight="1" x14ac:dyDescent="0.25">
      <c r="A35" s="79">
        <v>7</v>
      </c>
      <c r="B35" s="74" t="s">
        <v>73</v>
      </c>
      <c r="C35" s="76">
        <v>3</v>
      </c>
      <c r="D35" s="74">
        <v>0</v>
      </c>
      <c r="E35" s="76">
        <f>C35-D35</f>
        <v>3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74">
        <v>0</v>
      </c>
      <c r="N35" s="74">
        <v>0</v>
      </c>
      <c r="O35" s="74">
        <v>0</v>
      </c>
      <c r="P35" s="74">
        <v>0</v>
      </c>
      <c r="Q35" s="76">
        <f>C35/1000*20</f>
        <v>0.06</v>
      </c>
    </row>
    <row r="36" spans="1:17" ht="11.25" customHeight="1" x14ac:dyDescent="0.25">
      <c r="A36" s="80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</row>
    <row r="37" spans="1:17" ht="22.5" customHeight="1" x14ac:dyDescent="0.25">
      <c r="A37" s="80"/>
      <c r="B37" s="74" t="s">
        <v>73</v>
      </c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>
        <f>Q14+Q18+Q25+Q27+Q31+Q33+Q35</f>
        <v>61.000000000000007</v>
      </c>
    </row>
    <row r="38" spans="1:17" ht="18.75" x14ac:dyDescent="0.3">
      <c r="A38" s="54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1:17" ht="18.75" x14ac:dyDescent="0.3">
      <c r="A39" s="54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</row>
    <row r="40" spans="1:17" ht="50.25" customHeight="1" x14ac:dyDescent="0.3">
      <c r="A40" s="54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</row>
    <row r="41" spans="1:17" ht="18.75" x14ac:dyDescent="0.3">
      <c r="A41" s="55"/>
      <c r="B41" s="87" t="s">
        <v>0</v>
      </c>
      <c r="C41" s="88" t="s">
        <v>112</v>
      </c>
      <c r="D41" s="1"/>
      <c r="E41" s="1"/>
      <c r="F41" s="89" t="s">
        <v>1</v>
      </c>
      <c r="G41" s="89" t="s">
        <v>2</v>
      </c>
      <c r="H41" s="89" t="s">
        <v>3</v>
      </c>
      <c r="I41" s="89" t="s">
        <v>4</v>
      </c>
      <c r="J41" s="89" t="s">
        <v>5</v>
      </c>
      <c r="K41" s="89"/>
      <c r="L41" s="89"/>
      <c r="M41" s="89" t="s">
        <v>6</v>
      </c>
      <c r="N41" s="89"/>
      <c r="O41" s="89"/>
      <c r="P41" s="89"/>
      <c r="Q41" s="12"/>
    </row>
    <row r="42" spans="1:17" ht="24.75" customHeight="1" x14ac:dyDescent="0.3">
      <c r="A42" s="55"/>
      <c r="B42" s="87"/>
      <c r="C42" s="88"/>
      <c r="D42" s="1"/>
      <c r="E42" s="1"/>
      <c r="F42" s="89"/>
      <c r="G42" s="89"/>
      <c r="H42" s="89"/>
      <c r="I42" s="89"/>
      <c r="J42" s="2" t="s">
        <v>7</v>
      </c>
      <c r="K42" s="3" t="s">
        <v>8</v>
      </c>
      <c r="L42" s="2" t="s">
        <v>9</v>
      </c>
      <c r="M42" s="2" t="s">
        <v>10</v>
      </c>
      <c r="N42" s="2" t="s">
        <v>11</v>
      </c>
      <c r="O42" s="2" t="s">
        <v>12</v>
      </c>
      <c r="P42" s="2" t="s">
        <v>13</v>
      </c>
      <c r="Q42" s="12"/>
    </row>
    <row r="43" spans="1:17" ht="30" x14ac:dyDescent="0.3">
      <c r="A43" s="55"/>
      <c r="B43" s="7" t="s">
        <v>74</v>
      </c>
      <c r="C43" s="14" t="s">
        <v>19</v>
      </c>
      <c r="D43" s="13" t="s">
        <v>21</v>
      </c>
      <c r="E43" s="13" t="s">
        <v>20</v>
      </c>
      <c r="F43" s="8"/>
      <c r="G43" s="8"/>
      <c r="H43" s="8"/>
      <c r="I43" s="9"/>
      <c r="J43" s="10"/>
      <c r="K43" s="11"/>
      <c r="L43" s="10"/>
      <c r="M43" s="4"/>
      <c r="N43" s="4"/>
      <c r="O43" s="4"/>
      <c r="P43" s="4"/>
      <c r="Q43" s="38" t="s">
        <v>68</v>
      </c>
    </row>
    <row r="44" spans="1:17" ht="18.75" x14ac:dyDescent="0.3">
      <c r="A44" s="55"/>
      <c r="B44" s="6" t="s">
        <v>76</v>
      </c>
      <c r="C44" s="15">
        <v>50</v>
      </c>
      <c r="D44" s="15">
        <f>C44*0.2</f>
        <v>10</v>
      </c>
      <c r="E44" s="15">
        <v>40</v>
      </c>
      <c r="F44" s="15">
        <f>E44*0.015</f>
        <v>0.6</v>
      </c>
      <c r="G44" s="15">
        <f>E44*0.001</f>
        <v>0.04</v>
      </c>
      <c r="H44" s="15">
        <f>E44*0.091</f>
        <v>3.6399999999999997</v>
      </c>
      <c r="I44" s="15">
        <f>E44*0.42</f>
        <v>16.8</v>
      </c>
      <c r="J44" s="15">
        <f>E44*0.02%</f>
        <v>8.0000000000000002E-3</v>
      </c>
      <c r="K44" s="15">
        <f>E44*10%</f>
        <v>4</v>
      </c>
      <c r="L44" s="15">
        <v>0</v>
      </c>
      <c r="M44" s="15">
        <f>E44*37%</f>
        <v>14.8</v>
      </c>
      <c r="N44" s="15">
        <f>E44*43%</f>
        <v>17.2</v>
      </c>
      <c r="O44" s="15">
        <f>E44*22%</f>
        <v>8.8000000000000007</v>
      </c>
      <c r="P44" s="15">
        <f>E44*1.4%</f>
        <v>0.55999999999999994</v>
      </c>
      <c r="Q44" s="15">
        <f>C44/1000*60</f>
        <v>3</v>
      </c>
    </row>
    <row r="45" spans="1:17" ht="18.75" x14ac:dyDescent="0.3">
      <c r="A45" s="55"/>
      <c r="B45" s="6" t="s">
        <v>77</v>
      </c>
      <c r="C45" s="15">
        <v>5</v>
      </c>
      <c r="D45" s="15">
        <v>0</v>
      </c>
      <c r="E45" s="15">
        <v>5</v>
      </c>
      <c r="F45" s="15">
        <f>E45*3.1%</f>
        <v>0.155</v>
      </c>
      <c r="G45" s="15">
        <f>E45*0.2%</f>
        <v>0.01</v>
      </c>
      <c r="H45" s="15">
        <f>E45*6.5%</f>
        <v>0.32500000000000001</v>
      </c>
      <c r="I45" s="15">
        <f>E45*40%</f>
        <v>2</v>
      </c>
      <c r="J45" s="15">
        <f>E45*0.11%</f>
        <v>5.5000000000000005E-3</v>
      </c>
      <c r="K45" s="15">
        <f>E45*10%</f>
        <v>0.5</v>
      </c>
      <c r="L45" s="15">
        <v>0</v>
      </c>
      <c r="M45" s="15">
        <f>E45*20%</f>
        <v>1</v>
      </c>
      <c r="N45" s="15">
        <f>E45*62%</f>
        <v>3.1</v>
      </c>
      <c r="O45" s="15">
        <f>E45*21%</f>
        <v>1.05</v>
      </c>
      <c r="P45" s="15">
        <f>E45*0.7%</f>
        <v>3.4999999999999996E-2</v>
      </c>
      <c r="Q45" s="15">
        <f>C45/1000*270</f>
        <v>1.35</v>
      </c>
    </row>
    <row r="46" spans="1:17" ht="18.75" x14ac:dyDescent="0.3">
      <c r="A46" s="55"/>
      <c r="B46" s="6" t="s">
        <v>18</v>
      </c>
      <c r="C46" s="15">
        <v>5</v>
      </c>
      <c r="D46" s="15">
        <v>0</v>
      </c>
      <c r="E46" s="15">
        <v>5</v>
      </c>
      <c r="F46" s="15">
        <v>0</v>
      </c>
      <c r="G46" s="17">
        <f>E46*0.999</f>
        <v>4.9950000000000001</v>
      </c>
      <c r="H46" s="15">
        <v>0</v>
      </c>
      <c r="I46" s="15">
        <f>E46*8.99</f>
        <v>44.95</v>
      </c>
      <c r="J46" s="15">
        <f>E46*0.06%</f>
        <v>2.9999999999999996E-3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f>C46/1000*100</f>
        <v>0.5</v>
      </c>
    </row>
    <row r="47" spans="1:17" ht="18.75" x14ac:dyDescent="0.3">
      <c r="A47" s="55">
        <v>1</v>
      </c>
      <c r="B47" s="45" t="s">
        <v>75</v>
      </c>
      <c r="C47" s="19">
        <f t="shared" ref="C47:Q47" si="4">SUM(C44:C46)</f>
        <v>60</v>
      </c>
      <c r="D47" s="19">
        <f t="shared" si="4"/>
        <v>10</v>
      </c>
      <c r="E47" s="19">
        <f t="shared" si="4"/>
        <v>50</v>
      </c>
      <c r="F47" s="19">
        <f t="shared" si="4"/>
        <v>0.755</v>
      </c>
      <c r="G47" s="19">
        <f t="shared" si="4"/>
        <v>5.0449999999999999</v>
      </c>
      <c r="H47" s="19">
        <f t="shared" si="4"/>
        <v>3.9649999999999999</v>
      </c>
      <c r="I47" s="19">
        <f t="shared" si="4"/>
        <v>63.75</v>
      </c>
      <c r="J47" s="19">
        <f t="shared" si="4"/>
        <v>1.6500000000000001E-2</v>
      </c>
      <c r="K47" s="19">
        <f t="shared" si="4"/>
        <v>4.5</v>
      </c>
      <c r="L47" s="19">
        <f t="shared" si="4"/>
        <v>0</v>
      </c>
      <c r="M47" s="19">
        <f t="shared" si="4"/>
        <v>15.8</v>
      </c>
      <c r="N47" s="19">
        <f t="shared" si="4"/>
        <v>20.3</v>
      </c>
      <c r="O47" s="19">
        <f t="shared" si="4"/>
        <v>9.8500000000000014</v>
      </c>
      <c r="P47" s="19">
        <f t="shared" si="4"/>
        <v>0.59499999999999997</v>
      </c>
      <c r="Q47" s="19">
        <f t="shared" si="4"/>
        <v>4.8499999999999996</v>
      </c>
    </row>
    <row r="48" spans="1:17" ht="18.75" x14ac:dyDescent="0.3">
      <c r="A48" s="55"/>
      <c r="B48" s="12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1:17" ht="18.75" x14ac:dyDescent="0.3">
      <c r="A49" s="55"/>
      <c r="B49" s="12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1:17" ht="18.75" x14ac:dyDescent="0.3">
      <c r="A50" s="55"/>
      <c r="B50" s="12" t="s">
        <v>81</v>
      </c>
      <c r="C50" s="15">
        <v>100</v>
      </c>
      <c r="D50" s="15">
        <f>C50*25%</f>
        <v>25</v>
      </c>
      <c r="E50" s="15">
        <v>75</v>
      </c>
      <c r="F50" s="15">
        <f>E50*18.2%</f>
        <v>13.65</v>
      </c>
      <c r="G50" s="15">
        <f>E50*18.4%</f>
        <v>13.799999999999999</v>
      </c>
      <c r="H50" s="15">
        <f>E50*0.7%</f>
        <v>0.52499999999999991</v>
      </c>
      <c r="I50" s="15">
        <f>E50*241%</f>
        <v>180.75</v>
      </c>
      <c r="J50" s="15">
        <f>E50*0.07%</f>
        <v>5.2500000000000005E-2</v>
      </c>
      <c r="K50" s="15">
        <v>0</v>
      </c>
      <c r="L50" s="15">
        <f>E50*0.07%</f>
        <v>5.2500000000000005E-2</v>
      </c>
      <c r="M50" s="15">
        <f>E50*16%</f>
        <v>12</v>
      </c>
      <c r="N50" s="15">
        <f>E50*165%</f>
        <v>123.75</v>
      </c>
      <c r="O50" s="15">
        <f>E50*18%</f>
        <v>13.5</v>
      </c>
      <c r="P50" s="15">
        <f>E50*1.6%</f>
        <v>1.2</v>
      </c>
      <c r="Q50" s="15">
        <f>C50/1000*240</f>
        <v>24</v>
      </c>
    </row>
    <row r="51" spans="1:17" ht="18.75" x14ac:dyDescent="0.3">
      <c r="A51" s="55">
        <v>2</v>
      </c>
      <c r="B51" s="38" t="s">
        <v>61</v>
      </c>
      <c r="C51" s="19">
        <f>SUM(C50)</f>
        <v>100</v>
      </c>
      <c r="D51" s="19">
        <f>SUM(D50)</f>
        <v>25</v>
      </c>
      <c r="E51" s="19">
        <v>75</v>
      </c>
      <c r="F51" s="19">
        <f t="shared" ref="F51:Q51" si="5">SUM(F50)</f>
        <v>13.65</v>
      </c>
      <c r="G51" s="19">
        <f t="shared" si="5"/>
        <v>13.799999999999999</v>
      </c>
      <c r="H51" s="19">
        <f t="shared" si="5"/>
        <v>0.52499999999999991</v>
      </c>
      <c r="I51" s="19">
        <f t="shared" si="5"/>
        <v>180.75</v>
      </c>
      <c r="J51" s="19">
        <f t="shared" si="5"/>
        <v>5.2500000000000005E-2</v>
      </c>
      <c r="K51" s="19">
        <f t="shared" si="5"/>
        <v>0</v>
      </c>
      <c r="L51" s="19">
        <f t="shared" si="5"/>
        <v>5.2500000000000005E-2</v>
      </c>
      <c r="M51" s="19">
        <f t="shared" si="5"/>
        <v>12</v>
      </c>
      <c r="N51" s="19">
        <f t="shared" si="5"/>
        <v>123.75</v>
      </c>
      <c r="O51" s="19">
        <f t="shared" si="5"/>
        <v>13.5</v>
      </c>
      <c r="P51" s="19">
        <f t="shared" si="5"/>
        <v>1.2</v>
      </c>
      <c r="Q51" s="19">
        <f t="shared" si="5"/>
        <v>24</v>
      </c>
    </row>
    <row r="52" spans="1:17" ht="18.75" x14ac:dyDescent="0.3">
      <c r="A52" s="55"/>
      <c r="B52" s="12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1:17" ht="18.75" x14ac:dyDescent="0.3">
      <c r="A53" s="55"/>
      <c r="B53" s="12" t="s">
        <v>79</v>
      </c>
      <c r="C53" s="15">
        <v>40</v>
      </c>
      <c r="D53" s="15">
        <f>C53*0.25</f>
        <v>10</v>
      </c>
      <c r="E53" s="15">
        <f>C53-D53</f>
        <v>30</v>
      </c>
      <c r="F53" s="15">
        <f>E53*2%</f>
        <v>0.6</v>
      </c>
      <c r="G53" s="15">
        <f>E53*0.4%</f>
        <v>0.12</v>
      </c>
      <c r="H53" s="15">
        <f>E53*16.3%</f>
        <v>4.8900000000000006</v>
      </c>
      <c r="I53" s="15">
        <f>E53*80%</f>
        <v>24</v>
      </c>
      <c r="J53" s="15">
        <f>E53*0.12%</f>
        <v>3.5999999999999997E-2</v>
      </c>
      <c r="K53" s="15">
        <f>E53*20%</f>
        <v>6</v>
      </c>
      <c r="L53" s="15">
        <v>0</v>
      </c>
      <c r="M53" s="15">
        <f>E53*10%</f>
        <v>3</v>
      </c>
      <c r="N53" s="15">
        <f>E53*58%</f>
        <v>17.399999999999999</v>
      </c>
      <c r="O53" s="15">
        <f>E53*23%</f>
        <v>6.9</v>
      </c>
      <c r="P53" s="15">
        <f>E53*0.9%</f>
        <v>0.27</v>
      </c>
      <c r="Q53" s="15">
        <f>C53/1000*60</f>
        <v>2.4</v>
      </c>
    </row>
    <row r="54" spans="1:17" ht="18.75" x14ac:dyDescent="0.3">
      <c r="A54" s="55"/>
      <c r="B54" s="12" t="s">
        <v>16</v>
      </c>
      <c r="C54" s="15">
        <v>20</v>
      </c>
      <c r="D54" s="15">
        <f>C54*0.2</f>
        <v>4</v>
      </c>
      <c r="E54" s="15">
        <f>C54-D54</f>
        <v>16</v>
      </c>
      <c r="F54" s="15">
        <f>E54*1.3%</f>
        <v>0.20800000000000002</v>
      </c>
      <c r="G54" s="17">
        <f>E54*0.001</f>
        <v>1.6E-2</v>
      </c>
      <c r="H54" s="15">
        <f>E54*0.072</f>
        <v>1.1519999999999999</v>
      </c>
      <c r="I54" s="15">
        <f>E54*0.3</f>
        <v>4.8</v>
      </c>
      <c r="J54" s="15">
        <f>E54*0.06%</f>
        <v>9.5999999999999992E-3</v>
      </c>
      <c r="K54" s="15">
        <f>E54*5%</f>
        <v>0.8</v>
      </c>
      <c r="L54" s="15">
        <v>0</v>
      </c>
      <c r="M54" s="15">
        <f>E54*51%</f>
        <v>8.16</v>
      </c>
      <c r="N54" s="15">
        <f>E54*55%</f>
        <v>8.8000000000000007</v>
      </c>
      <c r="O54" s="15">
        <f>E54*38%</f>
        <v>6.08</v>
      </c>
      <c r="P54" s="15">
        <f>E54*0.7%</f>
        <v>0.11199999999999999</v>
      </c>
      <c r="Q54" s="12">
        <f>C54/1000*60</f>
        <v>1.2</v>
      </c>
    </row>
    <row r="55" spans="1:17" ht="18.75" x14ac:dyDescent="0.3">
      <c r="A55" s="55"/>
      <c r="B55" s="12" t="s">
        <v>80</v>
      </c>
      <c r="C55" s="15">
        <v>15</v>
      </c>
      <c r="D55" s="15">
        <f>C55*0.16</f>
        <v>2.4</v>
      </c>
      <c r="E55" s="15">
        <f>C55-D55</f>
        <v>12.6</v>
      </c>
      <c r="F55" s="15">
        <f>E55*1.4%</f>
        <v>0.17639999999999997</v>
      </c>
      <c r="G55">
        <v>0</v>
      </c>
      <c r="H55" s="15">
        <f>E55*9.1%</f>
        <v>1.1465999999999998</v>
      </c>
      <c r="I55" s="15">
        <f>E55*41%</f>
        <v>5.1659999999999995</v>
      </c>
      <c r="J55" s="15">
        <f>E55*0.05%</f>
        <v>6.3E-3</v>
      </c>
      <c r="K55" s="15">
        <f>E55*10%</f>
        <v>1.26</v>
      </c>
      <c r="L55" s="15">
        <v>0</v>
      </c>
      <c r="M55" s="15">
        <f>E55*31%</f>
        <v>3.9059999999999997</v>
      </c>
      <c r="N55" s="15">
        <f>E55*58%</f>
        <v>7.3079999999999989</v>
      </c>
      <c r="O55" s="15">
        <f>E55*14%</f>
        <v>1.764</v>
      </c>
      <c r="P55" s="15">
        <f>E55*0.8%</f>
        <v>0.1008</v>
      </c>
      <c r="Q55" s="15">
        <f>C55/1000*40</f>
        <v>0.6</v>
      </c>
    </row>
    <row r="56" spans="1:17" ht="18.75" x14ac:dyDescent="0.3">
      <c r="A56" s="38"/>
      <c r="B56" s="12" t="s">
        <v>23</v>
      </c>
      <c r="C56" s="15">
        <v>10</v>
      </c>
      <c r="D56" s="15">
        <v>0</v>
      </c>
      <c r="E56" s="15">
        <v>10</v>
      </c>
      <c r="F56" s="15">
        <f>E56*0.5%</f>
        <v>0.05</v>
      </c>
      <c r="G56" s="15">
        <f>E56*82.5%</f>
        <v>8.25</v>
      </c>
      <c r="H56" s="15">
        <f>E56*0.8%</f>
        <v>0.08</v>
      </c>
      <c r="I56" s="15">
        <f>E56*748%</f>
        <v>74.800000000000011</v>
      </c>
      <c r="J56" s="15">
        <v>0</v>
      </c>
      <c r="K56" s="15">
        <v>0</v>
      </c>
      <c r="L56" s="15">
        <f>E56*0.59%</f>
        <v>5.8999999999999997E-2</v>
      </c>
      <c r="M56" s="15">
        <f>E56*12%</f>
        <v>1.2</v>
      </c>
      <c r="N56" s="15">
        <f>E56*19%</f>
        <v>1.9</v>
      </c>
      <c r="O56" s="15">
        <f>E56*0.4%</f>
        <v>0.04</v>
      </c>
      <c r="P56" s="15">
        <f>E56*0.2%</f>
        <v>0.02</v>
      </c>
      <c r="Q56" s="36">
        <f>C56/1000*300</f>
        <v>3</v>
      </c>
    </row>
    <row r="57" spans="1:17" ht="18.75" x14ac:dyDescent="0.3">
      <c r="A57" s="55"/>
      <c r="B57" s="12" t="s">
        <v>85</v>
      </c>
      <c r="C57" s="15">
        <v>30</v>
      </c>
      <c r="D57" s="15">
        <v>0</v>
      </c>
      <c r="E57" s="15">
        <f>C57-D57</f>
        <v>30</v>
      </c>
      <c r="F57" s="15">
        <f>E57*23%</f>
        <v>6.9</v>
      </c>
      <c r="G57" s="15">
        <f>E57*1.6%</f>
        <v>0.48</v>
      </c>
      <c r="H57" s="15">
        <f>E57*50.8%</f>
        <v>15.24</v>
      </c>
      <c r="I57" s="15">
        <f>E57*314%</f>
        <v>94.2</v>
      </c>
      <c r="J57" s="15">
        <f>E57*0.9%</f>
        <v>0.27</v>
      </c>
      <c r="K57" s="15">
        <v>0</v>
      </c>
      <c r="L57" s="15">
        <v>0</v>
      </c>
      <c r="M57" s="15">
        <f>E57*89%</f>
        <v>26.7</v>
      </c>
      <c r="N57" s="15">
        <f>E57*226%</f>
        <v>67.8</v>
      </c>
      <c r="O57" s="15">
        <f>E57*88%</f>
        <v>26.4</v>
      </c>
      <c r="P57" s="15">
        <f>E57*7%</f>
        <v>2.1</v>
      </c>
      <c r="Q57" s="42">
        <f>C57/1000*60</f>
        <v>1.7999999999999998</v>
      </c>
    </row>
    <row r="58" spans="1:17" ht="37.5" x14ac:dyDescent="0.3">
      <c r="A58" s="55">
        <v>3</v>
      </c>
      <c r="B58" s="57" t="s">
        <v>78</v>
      </c>
      <c r="C58" s="19">
        <f>C57+C56+C55+C54+C53</f>
        <v>115</v>
      </c>
      <c r="D58" s="19">
        <f t="shared" ref="D58:Q58" si="6">SUM(D53:D57)</f>
        <v>16.399999999999999</v>
      </c>
      <c r="E58" s="19">
        <v>250</v>
      </c>
      <c r="F58" s="19">
        <f t="shared" si="6"/>
        <v>7.9344000000000001</v>
      </c>
      <c r="G58" s="19">
        <f t="shared" si="6"/>
        <v>8.8659999999999997</v>
      </c>
      <c r="H58" s="19">
        <f t="shared" si="6"/>
        <v>22.508600000000001</v>
      </c>
      <c r="I58" s="19">
        <f t="shared" si="6"/>
        <v>202.96600000000001</v>
      </c>
      <c r="J58" s="19">
        <f t="shared" si="6"/>
        <v>0.32190000000000002</v>
      </c>
      <c r="K58" s="19">
        <f t="shared" si="6"/>
        <v>8.06</v>
      </c>
      <c r="L58" s="19">
        <f t="shared" si="6"/>
        <v>5.8999999999999997E-2</v>
      </c>
      <c r="M58" s="19">
        <f t="shared" si="6"/>
        <v>42.965999999999994</v>
      </c>
      <c r="N58" s="19">
        <f t="shared" si="6"/>
        <v>103.208</v>
      </c>
      <c r="O58" s="19">
        <f t="shared" si="6"/>
        <v>41.183999999999997</v>
      </c>
      <c r="P58" s="19">
        <f t="shared" si="6"/>
        <v>2.6028000000000002</v>
      </c>
      <c r="Q58" s="19">
        <f t="shared" si="6"/>
        <v>9</v>
      </c>
    </row>
    <row r="59" spans="1:17" ht="18.75" x14ac:dyDescent="0.3">
      <c r="A59" s="5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9"/>
    </row>
    <row r="60" spans="1:17" ht="18.75" x14ac:dyDescent="0.3">
      <c r="A60" s="55">
        <v>4</v>
      </c>
      <c r="B60" s="46" t="s">
        <v>58</v>
      </c>
      <c r="C60" s="19">
        <v>30</v>
      </c>
      <c r="D60" s="19">
        <v>0</v>
      </c>
      <c r="E60" s="19">
        <v>30</v>
      </c>
      <c r="F60" s="19">
        <f>E60*7.9%</f>
        <v>2.37</v>
      </c>
      <c r="G60" s="19">
        <f>E60*1%</f>
        <v>0.3</v>
      </c>
      <c r="H60" s="19">
        <f>E60*48.1%</f>
        <v>14.430000000000001</v>
      </c>
      <c r="I60" s="19">
        <f>E60*239%</f>
        <v>71.7</v>
      </c>
      <c r="J60" s="19">
        <f>E60*0.16%</f>
        <v>4.8000000000000001E-2</v>
      </c>
      <c r="K60" s="19">
        <v>0</v>
      </c>
      <c r="L60" s="19">
        <v>0</v>
      </c>
      <c r="M60" s="19">
        <f>E60*23%</f>
        <v>6.9</v>
      </c>
      <c r="N60" s="19">
        <f>E60*87%</f>
        <v>26.1</v>
      </c>
      <c r="O60" s="19">
        <f>E60*33%</f>
        <v>9.9</v>
      </c>
      <c r="P60" s="19">
        <f>E60*2%</f>
        <v>0.6</v>
      </c>
      <c r="Q60" s="15">
        <f>C60/1000*50</f>
        <v>1.5</v>
      </c>
    </row>
    <row r="61" spans="1:17" ht="18.75" x14ac:dyDescent="0.3">
      <c r="A61" s="5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</row>
    <row r="62" spans="1:17" ht="18.75" x14ac:dyDescent="0.3">
      <c r="A62" s="55"/>
      <c r="B62" s="15" t="s">
        <v>70</v>
      </c>
      <c r="C62" s="15">
        <v>15</v>
      </c>
      <c r="D62" s="15">
        <v>0</v>
      </c>
      <c r="E62" s="15">
        <v>15</v>
      </c>
      <c r="F62" s="15">
        <f>E62*5.2%</f>
        <v>0.78</v>
      </c>
      <c r="G62" s="15">
        <v>0</v>
      </c>
      <c r="H62" s="15">
        <f>E62*55%</f>
        <v>8.25</v>
      </c>
      <c r="I62" s="15">
        <f>E62*234%</f>
        <v>35.099999999999994</v>
      </c>
      <c r="J62" s="15">
        <f>E62*0.1%</f>
        <v>1.4999999999999999E-2</v>
      </c>
      <c r="K62" s="15">
        <f>E62*4%</f>
        <v>0.6</v>
      </c>
      <c r="L62" s="15">
        <v>0</v>
      </c>
      <c r="M62" s="15">
        <f>E62*160%</f>
        <v>24</v>
      </c>
      <c r="N62" s="15">
        <f>E62*146%</f>
        <v>21.9</v>
      </c>
      <c r="O62" s="15">
        <f>E62*105%</f>
        <v>15.75</v>
      </c>
      <c r="P62" s="15">
        <f>E62*3.2%</f>
        <v>0.48</v>
      </c>
      <c r="Q62" s="15">
        <f>C62/1000*600</f>
        <v>9</v>
      </c>
    </row>
    <row r="63" spans="1:17" ht="18.75" x14ac:dyDescent="0.3">
      <c r="A63" s="55"/>
      <c r="B63" s="15" t="s">
        <v>71</v>
      </c>
      <c r="C63" s="15">
        <v>10</v>
      </c>
      <c r="D63" s="15">
        <v>0</v>
      </c>
      <c r="E63" s="15">
        <v>10</v>
      </c>
      <c r="F63" s="15">
        <v>0</v>
      </c>
      <c r="G63" s="15">
        <v>0</v>
      </c>
      <c r="H63" s="15">
        <f>E63*99.8%</f>
        <v>9.98</v>
      </c>
      <c r="I63" s="15">
        <f>E63*379%</f>
        <v>37.9</v>
      </c>
      <c r="J63" s="15">
        <v>0</v>
      </c>
      <c r="K63" s="15">
        <v>0</v>
      </c>
      <c r="L63" s="15">
        <v>0</v>
      </c>
      <c r="M63" s="15">
        <f>E63*2%</f>
        <v>0.2</v>
      </c>
      <c r="N63" s="15">
        <v>0</v>
      </c>
      <c r="O63" s="15">
        <v>0</v>
      </c>
      <c r="P63" s="15">
        <f>E63*0.3%</f>
        <v>0.03</v>
      </c>
      <c r="Q63" s="19">
        <f>C63/1000*60</f>
        <v>0.6</v>
      </c>
    </row>
    <row r="64" spans="1:17" ht="18.75" x14ac:dyDescent="0.3">
      <c r="A64" s="55">
        <v>5</v>
      </c>
      <c r="B64" s="46" t="s">
        <v>69</v>
      </c>
      <c r="C64" s="19">
        <f>SUM(C62:C63)</f>
        <v>25</v>
      </c>
      <c r="D64" s="19">
        <f t="shared" ref="D64:P64" si="7">SUM(D62:D63)</f>
        <v>0</v>
      </c>
      <c r="E64" s="19">
        <v>150</v>
      </c>
      <c r="F64" s="19">
        <f t="shared" si="7"/>
        <v>0.78</v>
      </c>
      <c r="G64" s="19">
        <f t="shared" si="7"/>
        <v>0</v>
      </c>
      <c r="H64" s="19">
        <f t="shared" si="7"/>
        <v>18.23</v>
      </c>
      <c r="I64" s="19">
        <f t="shared" si="7"/>
        <v>73</v>
      </c>
      <c r="J64" s="19">
        <f t="shared" si="7"/>
        <v>1.4999999999999999E-2</v>
      </c>
      <c r="K64" s="19">
        <f t="shared" si="7"/>
        <v>0.6</v>
      </c>
      <c r="L64" s="19">
        <f t="shared" si="7"/>
        <v>0</v>
      </c>
      <c r="M64" s="19">
        <f t="shared" si="7"/>
        <v>24.2</v>
      </c>
      <c r="N64" s="19">
        <f t="shared" si="7"/>
        <v>21.9</v>
      </c>
      <c r="O64" s="19">
        <f t="shared" si="7"/>
        <v>15.75</v>
      </c>
      <c r="P64" s="19">
        <f t="shared" si="7"/>
        <v>0.51</v>
      </c>
      <c r="Q64" s="15">
        <f>SUM(Q62:Q63)</f>
        <v>9.6</v>
      </c>
    </row>
    <row r="65" spans="1:17" ht="18.75" x14ac:dyDescent="0.3">
      <c r="A65" s="5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9"/>
    </row>
    <row r="66" spans="1:17" ht="18.75" x14ac:dyDescent="0.3">
      <c r="A66" s="55">
        <v>6</v>
      </c>
      <c r="B66" s="46" t="s">
        <v>60</v>
      </c>
      <c r="C66" s="19">
        <v>100</v>
      </c>
      <c r="D66" s="19">
        <v>0</v>
      </c>
      <c r="E66" s="19">
        <f>C66-D66</f>
        <v>100</v>
      </c>
      <c r="F66" s="19">
        <f>E66*1.5%</f>
        <v>1.5</v>
      </c>
      <c r="G66" s="19">
        <f>E66*0.5%</f>
        <v>0.5</v>
      </c>
      <c r="H66" s="19">
        <f>E66*21%</f>
        <v>21</v>
      </c>
      <c r="I66" s="19">
        <f>E66*96%</f>
        <v>96</v>
      </c>
      <c r="J66" s="19">
        <v>0</v>
      </c>
      <c r="K66" s="19">
        <v>8.6999999999999993</v>
      </c>
      <c r="L66" s="19">
        <v>3</v>
      </c>
      <c r="M66" s="19">
        <v>5</v>
      </c>
      <c r="N66" s="19">
        <v>22</v>
      </c>
      <c r="O66" s="19">
        <v>27</v>
      </c>
      <c r="P66" s="19">
        <v>0.3</v>
      </c>
      <c r="Q66" s="19">
        <f>C66/1000*120</f>
        <v>12</v>
      </c>
    </row>
    <row r="67" spans="1:17" ht="18.75" x14ac:dyDescent="0.3">
      <c r="A67" s="55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</row>
    <row r="68" spans="1:17" ht="18.75" x14ac:dyDescent="0.3">
      <c r="A68" s="55">
        <v>7</v>
      </c>
      <c r="B68" s="46" t="s">
        <v>82</v>
      </c>
      <c r="C68" s="19">
        <v>3</v>
      </c>
      <c r="D68" s="19">
        <v>0</v>
      </c>
      <c r="E68" s="19">
        <f>C68-D68</f>
        <v>3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f>C68/1000*20</f>
        <v>0.06</v>
      </c>
    </row>
    <row r="69" spans="1:17" ht="23.25" x14ac:dyDescent="0.35">
      <c r="A69" s="55"/>
      <c r="B69" s="37" t="s">
        <v>73</v>
      </c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43">
        <f>Q47+Q51+Q58+Q60+Q64+Q66+Q68</f>
        <v>61.010000000000005</v>
      </c>
    </row>
    <row r="70" spans="1:17" ht="23.25" x14ac:dyDescent="0.35">
      <c r="A70" s="60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43"/>
    </row>
    <row r="71" spans="1:17" ht="23.25" x14ac:dyDescent="0.35">
      <c r="A71" s="60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43"/>
    </row>
    <row r="72" spans="1:17" ht="23.25" x14ac:dyDescent="0.35">
      <c r="A72" s="60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43"/>
    </row>
    <row r="73" spans="1:17" ht="23.25" x14ac:dyDescent="0.35">
      <c r="A73" s="60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43"/>
    </row>
    <row r="74" spans="1:17" ht="23.25" x14ac:dyDescent="0.35">
      <c r="A74" s="60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43"/>
    </row>
    <row r="75" spans="1:17" ht="23.25" x14ac:dyDescent="0.35">
      <c r="A75" s="60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43"/>
    </row>
    <row r="76" spans="1:17" ht="23.25" x14ac:dyDescent="0.35">
      <c r="A76" s="60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43"/>
    </row>
    <row r="77" spans="1:17" ht="23.25" x14ac:dyDescent="0.35">
      <c r="A77" s="60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43"/>
    </row>
    <row r="78" spans="1:17" ht="18.75" x14ac:dyDescent="0.3">
      <c r="A78" s="55"/>
      <c r="B78" s="87" t="s">
        <v>0</v>
      </c>
      <c r="C78" s="88"/>
      <c r="D78" s="1"/>
      <c r="E78" s="1"/>
      <c r="F78" s="89" t="s">
        <v>1</v>
      </c>
      <c r="G78" s="89" t="s">
        <v>2</v>
      </c>
      <c r="H78" s="89" t="s">
        <v>3</v>
      </c>
      <c r="I78" s="89" t="s">
        <v>4</v>
      </c>
      <c r="J78" s="89" t="s">
        <v>5</v>
      </c>
      <c r="K78" s="89"/>
      <c r="L78" s="89"/>
      <c r="M78" s="89" t="s">
        <v>6</v>
      </c>
      <c r="N78" s="89"/>
      <c r="O78" s="89"/>
      <c r="P78" s="89"/>
      <c r="Q78" s="12"/>
    </row>
    <row r="79" spans="1:17" ht="27" customHeight="1" x14ac:dyDescent="0.3">
      <c r="A79" s="55"/>
      <c r="B79" s="87"/>
      <c r="C79" s="88"/>
      <c r="D79" s="1"/>
      <c r="E79" s="1"/>
      <c r="F79" s="89"/>
      <c r="G79" s="89"/>
      <c r="H79" s="89"/>
      <c r="I79" s="89"/>
      <c r="J79" s="2" t="s">
        <v>7</v>
      </c>
      <c r="K79" s="3" t="s">
        <v>8</v>
      </c>
      <c r="L79" s="2" t="s">
        <v>9</v>
      </c>
      <c r="M79" s="2" t="s">
        <v>10</v>
      </c>
      <c r="N79" s="2" t="s">
        <v>11</v>
      </c>
      <c r="O79" s="2" t="s">
        <v>12</v>
      </c>
      <c r="P79" s="2" t="s">
        <v>13</v>
      </c>
      <c r="Q79" s="38" t="s">
        <v>68</v>
      </c>
    </row>
    <row r="80" spans="1:17" ht="30" x14ac:dyDescent="0.3">
      <c r="A80" s="55"/>
      <c r="B80" s="7" t="s">
        <v>83</v>
      </c>
      <c r="C80" s="14" t="s">
        <v>19</v>
      </c>
      <c r="D80" s="13" t="s">
        <v>21</v>
      </c>
      <c r="E80" s="13" t="s">
        <v>20</v>
      </c>
      <c r="F80" s="8"/>
      <c r="G80" s="8"/>
      <c r="H80" s="8"/>
      <c r="I80" s="9"/>
      <c r="J80" s="10"/>
      <c r="K80" s="11"/>
      <c r="L80" s="10"/>
      <c r="M80" s="4"/>
      <c r="N80" s="4"/>
      <c r="O80" s="4"/>
      <c r="P80" s="4"/>
    </row>
    <row r="81" spans="1:17" ht="18.75" x14ac:dyDescent="0.3">
      <c r="A81" s="55"/>
      <c r="B81" s="12" t="s">
        <v>79</v>
      </c>
      <c r="C81" s="15">
        <v>30</v>
      </c>
      <c r="D81" s="15">
        <f>C81*0.25</f>
        <v>7.5</v>
      </c>
      <c r="E81" s="15">
        <f>C81-D81</f>
        <v>22.5</v>
      </c>
      <c r="F81" s="15">
        <f>E81*2%</f>
        <v>0.45</v>
      </c>
      <c r="G81" s="15">
        <f>E81*0.4%</f>
        <v>0.09</v>
      </c>
      <c r="H81" s="15">
        <f>E81*16.3%</f>
        <v>3.6675</v>
      </c>
      <c r="I81" s="15">
        <f>E81*80%</f>
        <v>18</v>
      </c>
      <c r="J81" s="15">
        <f>E81*0.12%</f>
        <v>2.6999999999999996E-2</v>
      </c>
      <c r="K81" s="15">
        <f>E81*20%</f>
        <v>4.5</v>
      </c>
      <c r="L81" s="15">
        <v>0</v>
      </c>
      <c r="M81" s="15">
        <f>E81*10%</f>
        <v>2.25</v>
      </c>
      <c r="N81" s="15">
        <f>E81*58%</f>
        <v>13.049999999999999</v>
      </c>
      <c r="O81" s="15">
        <f>E81*23%</f>
        <v>5.1749999999999998</v>
      </c>
      <c r="P81" s="15">
        <f>E81*0.9%</f>
        <v>0.20250000000000001</v>
      </c>
      <c r="Q81" s="15">
        <f>C81/1000*60</f>
        <v>1.7999999999999998</v>
      </c>
    </row>
    <row r="82" spans="1:17" ht="18.75" x14ac:dyDescent="0.3">
      <c r="A82" s="55"/>
      <c r="B82" s="12" t="s">
        <v>16</v>
      </c>
      <c r="C82" s="15">
        <v>30</v>
      </c>
      <c r="D82" s="15">
        <f>C82*0.2</f>
        <v>6</v>
      </c>
      <c r="E82" s="15">
        <f>C82-D82</f>
        <v>24</v>
      </c>
      <c r="F82" s="15">
        <f>E82*1.3%</f>
        <v>0.31200000000000006</v>
      </c>
      <c r="G82" s="17">
        <f>E82*0.001</f>
        <v>2.4E-2</v>
      </c>
      <c r="H82" s="15">
        <f>E82*0.072</f>
        <v>1.7279999999999998</v>
      </c>
      <c r="I82" s="15">
        <f>E82*0.3</f>
        <v>7.1999999999999993</v>
      </c>
      <c r="J82" s="15">
        <f>E82*0.06%</f>
        <v>1.44E-2</v>
      </c>
      <c r="K82" s="15">
        <f>E82*5%</f>
        <v>1.2000000000000002</v>
      </c>
      <c r="L82" s="15">
        <v>0</v>
      </c>
      <c r="M82" s="15">
        <f>E82*51%</f>
        <v>12.24</v>
      </c>
      <c r="N82" s="15">
        <f>E82*55%</f>
        <v>13.200000000000001</v>
      </c>
      <c r="O82" s="15">
        <f>E82*38%</f>
        <v>9.120000000000001</v>
      </c>
      <c r="P82" s="15">
        <f>E82*0.7%</f>
        <v>0.16799999999999998</v>
      </c>
      <c r="Q82" s="12">
        <f>C82/1000*60</f>
        <v>1.7999999999999998</v>
      </c>
    </row>
    <row r="83" spans="1:17" ht="18.75" x14ac:dyDescent="0.3">
      <c r="A83" s="55"/>
      <c r="B83" s="6" t="s">
        <v>76</v>
      </c>
      <c r="C83" s="15">
        <v>30</v>
      </c>
      <c r="D83" s="15">
        <f>C83*0.2</f>
        <v>6</v>
      </c>
      <c r="E83" s="15">
        <f>C83-D83</f>
        <v>24</v>
      </c>
      <c r="F83" s="15">
        <f>E83*0.015</f>
        <v>0.36</v>
      </c>
      <c r="G83" s="15">
        <f>E83*0.001</f>
        <v>2.4E-2</v>
      </c>
      <c r="H83" s="15">
        <f>E83*0.091</f>
        <v>2.1840000000000002</v>
      </c>
      <c r="I83" s="15">
        <f>E83*0.42</f>
        <v>10.08</v>
      </c>
      <c r="J83" s="15">
        <f>E83*0.02%</f>
        <v>4.8000000000000004E-3</v>
      </c>
      <c r="K83" s="15">
        <f>E83*10%</f>
        <v>2.4000000000000004</v>
      </c>
      <c r="L83" s="15">
        <v>0</v>
      </c>
      <c r="M83" s="15">
        <f>E83*37%</f>
        <v>8.879999999999999</v>
      </c>
      <c r="N83" s="15">
        <f>E83*43%</f>
        <v>10.32</v>
      </c>
      <c r="O83" s="15">
        <f>E83*22%</f>
        <v>5.28</v>
      </c>
      <c r="P83" s="15">
        <f>E83*1.4%</f>
        <v>0.33599999999999997</v>
      </c>
      <c r="Q83" s="15">
        <f>C83/1000*60</f>
        <v>1.7999999999999998</v>
      </c>
    </row>
    <row r="84" spans="1:17" ht="18.75" x14ac:dyDescent="0.3">
      <c r="A84" s="55"/>
      <c r="B84" s="6" t="s">
        <v>84</v>
      </c>
      <c r="C84" s="15">
        <v>10</v>
      </c>
      <c r="D84" s="15">
        <v>0</v>
      </c>
      <c r="E84" s="15">
        <f>C84-D84</f>
        <v>10</v>
      </c>
      <c r="F84" s="15">
        <v>0</v>
      </c>
      <c r="G84" s="17">
        <f>E84*0.999</f>
        <v>9.99</v>
      </c>
      <c r="H84" s="15">
        <v>0</v>
      </c>
      <c r="I84" s="15">
        <f>E84*8.99</f>
        <v>89.9</v>
      </c>
      <c r="J84" s="15">
        <f>E84*0.06%</f>
        <v>5.9999999999999993E-3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f>C84/1000*270</f>
        <v>2.7</v>
      </c>
    </row>
    <row r="85" spans="1:17" ht="18.75" x14ac:dyDescent="0.3">
      <c r="A85" s="55"/>
      <c r="B85" s="6" t="s">
        <v>18</v>
      </c>
      <c r="C85" s="15">
        <v>4</v>
      </c>
      <c r="D85" s="15">
        <v>0</v>
      </c>
      <c r="E85" s="15">
        <f>C85-D85</f>
        <v>4</v>
      </c>
      <c r="F85" s="15">
        <v>0</v>
      </c>
      <c r="G85" s="17">
        <f>E85*0.999</f>
        <v>3.996</v>
      </c>
      <c r="H85" s="15">
        <v>0</v>
      </c>
      <c r="I85" s="15">
        <f>E85*8.99</f>
        <v>35.96</v>
      </c>
      <c r="J85" s="15">
        <f>E85*0.06%</f>
        <v>2.3999999999999998E-3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f>C85/1000*100</f>
        <v>0.4</v>
      </c>
    </row>
    <row r="86" spans="1:17" ht="18.75" x14ac:dyDescent="0.3">
      <c r="A86" s="55">
        <v>1</v>
      </c>
      <c r="B86" s="45" t="s">
        <v>116</v>
      </c>
      <c r="C86" s="19">
        <f>SUM(C81:C85)</f>
        <v>104</v>
      </c>
      <c r="D86" s="19">
        <f t="shared" ref="D86:P86" si="8">SUM(D81:D85)</f>
        <v>19.5</v>
      </c>
      <c r="E86" s="19">
        <f t="shared" si="8"/>
        <v>84.5</v>
      </c>
      <c r="F86" s="19">
        <f t="shared" si="8"/>
        <v>1.1219999999999999</v>
      </c>
      <c r="G86" s="19">
        <f t="shared" si="8"/>
        <v>14.124000000000001</v>
      </c>
      <c r="H86" s="19">
        <f t="shared" si="8"/>
        <v>7.5795000000000003</v>
      </c>
      <c r="I86" s="19">
        <f t="shared" si="8"/>
        <v>161.14000000000001</v>
      </c>
      <c r="J86" s="19">
        <f t="shared" si="8"/>
        <v>5.4599999999999989E-2</v>
      </c>
      <c r="K86" s="19">
        <f t="shared" si="8"/>
        <v>8.1000000000000014</v>
      </c>
      <c r="L86" s="19">
        <f t="shared" si="8"/>
        <v>0</v>
      </c>
      <c r="M86" s="19">
        <f t="shared" si="8"/>
        <v>23.369999999999997</v>
      </c>
      <c r="N86" s="19">
        <f t="shared" si="8"/>
        <v>36.57</v>
      </c>
      <c r="O86" s="19">
        <f t="shared" si="8"/>
        <v>19.575000000000003</v>
      </c>
      <c r="P86" s="19">
        <f t="shared" si="8"/>
        <v>0.70649999999999991</v>
      </c>
      <c r="Q86" s="19">
        <f>SUM(Q81:Q85)</f>
        <v>8.5</v>
      </c>
    </row>
    <row r="87" spans="1:17" ht="18.75" x14ac:dyDescent="0.3">
      <c r="A87" s="55"/>
      <c r="B87" s="12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</row>
    <row r="88" spans="1:17" ht="18.75" x14ac:dyDescent="0.3">
      <c r="A88" s="55"/>
      <c r="B88" s="12" t="s">
        <v>87</v>
      </c>
      <c r="C88" s="15">
        <v>60</v>
      </c>
      <c r="D88" s="15">
        <v>0</v>
      </c>
      <c r="E88" s="15">
        <v>60</v>
      </c>
      <c r="F88" s="15">
        <f>E88*12.6%</f>
        <v>7.5600000000000005</v>
      </c>
      <c r="G88" s="15">
        <f>E88*3.3%</f>
        <v>1.98</v>
      </c>
      <c r="H88" s="15">
        <f>E88*62.1%</f>
        <v>37.26</v>
      </c>
      <c r="I88" s="15">
        <f>E88*335%</f>
        <v>201</v>
      </c>
      <c r="J88" s="15">
        <f>E88*0.43%</f>
        <v>0.25800000000000001</v>
      </c>
      <c r="K88" s="15">
        <v>0</v>
      </c>
      <c r="L88" s="15">
        <v>0</v>
      </c>
      <c r="M88" s="15">
        <f>E88*20%</f>
        <v>12</v>
      </c>
      <c r="N88" s="15">
        <f>E88*298%</f>
        <v>178.8</v>
      </c>
      <c r="O88" s="15">
        <f>E88*200%</f>
        <v>120</v>
      </c>
      <c r="P88" s="15">
        <f>E88*6.7%</f>
        <v>4.0200000000000005</v>
      </c>
      <c r="Q88" s="36">
        <f>C88/1000*55</f>
        <v>3.3</v>
      </c>
    </row>
    <row r="89" spans="1:17" ht="18.75" x14ac:dyDescent="0.3">
      <c r="A89" s="55"/>
      <c r="B89" s="6" t="s">
        <v>18</v>
      </c>
      <c r="C89" s="15">
        <v>5</v>
      </c>
      <c r="D89" s="15">
        <v>0</v>
      </c>
      <c r="E89" s="15">
        <f>C89-D89</f>
        <v>5</v>
      </c>
      <c r="F89" s="15">
        <v>0</v>
      </c>
      <c r="G89" s="17">
        <f>E89*0.999</f>
        <v>4.9950000000000001</v>
      </c>
      <c r="H89" s="15">
        <v>0</v>
      </c>
      <c r="I89" s="15">
        <f>E89*8.99</f>
        <v>44.95</v>
      </c>
      <c r="J89" s="15">
        <f>E89*0.06%</f>
        <v>2.9999999999999996E-3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f>C89/1000*100</f>
        <v>0.5</v>
      </c>
    </row>
    <row r="90" spans="1:17" ht="18.75" x14ac:dyDescent="0.3">
      <c r="A90" s="38"/>
      <c r="B90" s="12" t="s">
        <v>23</v>
      </c>
      <c r="C90" s="15">
        <v>5</v>
      </c>
      <c r="D90" s="15">
        <v>0</v>
      </c>
      <c r="E90" s="15">
        <f>C90-D90</f>
        <v>5</v>
      </c>
      <c r="F90" s="15">
        <f>E90*0.5%</f>
        <v>2.5000000000000001E-2</v>
      </c>
      <c r="G90" s="15">
        <f>E90*82.5%</f>
        <v>4.125</v>
      </c>
      <c r="H90" s="15">
        <f>E90*0.8%</f>
        <v>0.04</v>
      </c>
      <c r="I90" s="15">
        <f>E90*748%</f>
        <v>37.400000000000006</v>
      </c>
      <c r="J90" s="15">
        <v>0</v>
      </c>
      <c r="K90" s="15">
        <v>0</v>
      </c>
      <c r="L90" s="15">
        <f>E90*0.59%</f>
        <v>2.9499999999999998E-2</v>
      </c>
      <c r="M90" s="15">
        <f>E90*12%</f>
        <v>0.6</v>
      </c>
      <c r="N90" s="15">
        <f>E90*19%</f>
        <v>0.95</v>
      </c>
      <c r="O90" s="15">
        <f>E90*0.4%</f>
        <v>0.02</v>
      </c>
      <c r="P90" s="15">
        <f>E90*0.2%</f>
        <v>0.01</v>
      </c>
      <c r="Q90" s="36">
        <f>C90/1000*300</f>
        <v>1.5</v>
      </c>
    </row>
    <row r="91" spans="1:17" ht="18.75" x14ac:dyDescent="0.3">
      <c r="A91" s="55">
        <v>2</v>
      </c>
      <c r="B91" s="38" t="s">
        <v>86</v>
      </c>
      <c r="C91" s="19">
        <f>C90+C89+C88</f>
        <v>70</v>
      </c>
      <c r="D91" s="19">
        <f t="shared" ref="D91:P91" si="9">SUM(D88:D90)</f>
        <v>0</v>
      </c>
      <c r="E91" s="19">
        <v>180</v>
      </c>
      <c r="F91" s="19">
        <f t="shared" si="9"/>
        <v>7.5850000000000009</v>
      </c>
      <c r="G91" s="19">
        <f t="shared" si="9"/>
        <v>11.1</v>
      </c>
      <c r="H91" s="19">
        <f t="shared" si="9"/>
        <v>37.299999999999997</v>
      </c>
      <c r="I91" s="19">
        <f t="shared" si="9"/>
        <v>283.35000000000002</v>
      </c>
      <c r="J91" s="19">
        <f t="shared" si="9"/>
        <v>0.26100000000000001</v>
      </c>
      <c r="K91" s="19">
        <f t="shared" si="9"/>
        <v>0</v>
      </c>
      <c r="L91" s="19">
        <f t="shared" si="9"/>
        <v>2.9499999999999998E-2</v>
      </c>
      <c r="M91" s="19">
        <f t="shared" si="9"/>
        <v>12.6</v>
      </c>
      <c r="N91" s="19">
        <f t="shared" si="9"/>
        <v>179.75</v>
      </c>
      <c r="O91" s="19">
        <f t="shared" si="9"/>
        <v>120.02</v>
      </c>
      <c r="P91" s="19">
        <f t="shared" si="9"/>
        <v>4.03</v>
      </c>
      <c r="Q91" s="36">
        <f>SUM(Q88:Q90)</f>
        <v>5.3</v>
      </c>
    </row>
    <row r="92" spans="1:17" ht="18.75" x14ac:dyDescent="0.3">
      <c r="A92" s="55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</row>
    <row r="93" spans="1:17" ht="18.75" x14ac:dyDescent="0.3">
      <c r="A93" s="55"/>
      <c r="B93" s="12" t="s">
        <v>81</v>
      </c>
      <c r="C93" s="15">
        <v>100</v>
      </c>
      <c r="D93" s="15">
        <f>C93*25%</f>
        <v>25</v>
      </c>
      <c r="E93" s="15">
        <v>75</v>
      </c>
      <c r="F93" s="15">
        <f>E93*18.2%</f>
        <v>13.65</v>
      </c>
      <c r="G93" s="15">
        <f>E93*18.4%</f>
        <v>13.799999999999999</v>
      </c>
      <c r="H93" s="15">
        <f>E93*0.7%</f>
        <v>0.52499999999999991</v>
      </c>
      <c r="I93" s="15">
        <f>E93*241%</f>
        <v>180.75</v>
      </c>
      <c r="J93" s="15">
        <f>E93*0.07%</f>
        <v>5.2500000000000005E-2</v>
      </c>
      <c r="K93" s="15">
        <v>0</v>
      </c>
      <c r="L93" s="15">
        <f>E93*0.07%</f>
        <v>5.2500000000000005E-2</v>
      </c>
      <c r="M93" s="15">
        <f>E93*16%</f>
        <v>12</v>
      </c>
      <c r="N93" s="15">
        <f>E93*165%</f>
        <v>123.75</v>
      </c>
      <c r="O93" s="15">
        <f>E93*18%</f>
        <v>13.5</v>
      </c>
      <c r="P93" s="15">
        <f>E93*1.6%</f>
        <v>1.2</v>
      </c>
      <c r="Q93" s="15">
        <f>C93/1000*240</f>
        <v>24</v>
      </c>
    </row>
    <row r="94" spans="1:17" ht="18.75" x14ac:dyDescent="0.3">
      <c r="A94" s="55">
        <v>3</v>
      </c>
      <c r="B94" s="46" t="s">
        <v>88</v>
      </c>
      <c r="C94" s="19">
        <f>SUM(C93:C93)</f>
        <v>100</v>
      </c>
      <c r="D94" s="19">
        <f>SUM(D93:D93)</f>
        <v>25</v>
      </c>
      <c r="E94" s="19">
        <v>75</v>
      </c>
      <c r="F94" s="19">
        <f t="shared" ref="F94:Q94" si="10">SUM(F93:F93)</f>
        <v>13.65</v>
      </c>
      <c r="G94" s="19">
        <f t="shared" si="10"/>
        <v>13.799999999999999</v>
      </c>
      <c r="H94" s="19">
        <f t="shared" si="10"/>
        <v>0.52499999999999991</v>
      </c>
      <c r="I94" s="19">
        <f t="shared" si="10"/>
        <v>180.75</v>
      </c>
      <c r="J94" s="19">
        <f t="shared" si="10"/>
        <v>5.2500000000000005E-2</v>
      </c>
      <c r="K94" s="19">
        <f t="shared" si="10"/>
        <v>0</v>
      </c>
      <c r="L94" s="19">
        <f t="shared" si="10"/>
        <v>5.2500000000000005E-2</v>
      </c>
      <c r="M94" s="19">
        <f t="shared" si="10"/>
        <v>12</v>
      </c>
      <c r="N94" s="19">
        <f t="shared" si="10"/>
        <v>123.75</v>
      </c>
      <c r="O94" s="19">
        <f t="shared" si="10"/>
        <v>13.5</v>
      </c>
      <c r="P94" s="19">
        <f t="shared" si="10"/>
        <v>1.2</v>
      </c>
      <c r="Q94" s="19">
        <f t="shared" si="10"/>
        <v>24</v>
      </c>
    </row>
    <row r="95" spans="1:17" ht="18.75" x14ac:dyDescent="0.3">
      <c r="A95" s="5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</row>
    <row r="96" spans="1:17" ht="18.75" x14ac:dyDescent="0.3">
      <c r="A96" s="55">
        <v>4</v>
      </c>
      <c r="B96" s="46" t="s">
        <v>58</v>
      </c>
      <c r="C96" s="19">
        <v>30</v>
      </c>
      <c r="D96" s="19">
        <v>0</v>
      </c>
      <c r="E96" s="19">
        <v>30</v>
      </c>
      <c r="F96" s="19">
        <f>E96*7.9%</f>
        <v>2.37</v>
      </c>
      <c r="G96" s="19">
        <f>E96*1%</f>
        <v>0.3</v>
      </c>
      <c r="H96" s="19">
        <f>E96*48.1%</f>
        <v>14.430000000000001</v>
      </c>
      <c r="I96" s="19">
        <f>E96*239%</f>
        <v>71.7</v>
      </c>
      <c r="J96" s="19">
        <f>E96*0.16%</f>
        <v>4.8000000000000001E-2</v>
      </c>
      <c r="K96" s="19">
        <v>0</v>
      </c>
      <c r="L96" s="19">
        <v>0</v>
      </c>
      <c r="M96" s="19">
        <f>E96*23%</f>
        <v>6.9</v>
      </c>
      <c r="N96" s="19">
        <f>E96*87%</f>
        <v>26.1</v>
      </c>
      <c r="O96" s="19">
        <f>E96*33%</f>
        <v>9.9</v>
      </c>
      <c r="P96" s="19">
        <f>E96*2%</f>
        <v>0.6</v>
      </c>
      <c r="Q96" s="19">
        <f>C96/1000*50</f>
        <v>1.5</v>
      </c>
    </row>
    <row r="97" spans="1:17" ht="18.75" x14ac:dyDescent="0.3">
      <c r="A97" s="5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1:17" ht="18.75" x14ac:dyDescent="0.3">
      <c r="A98" s="55"/>
      <c r="B98" s="15" t="s">
        <v>70</v>
      </c>
      <c r="C98" s="15">
        <v>15</v>
      </c>
      <c r="D98" s="15">
        <v>0</v>
      </c>
      <c r="E98" s="15">
        <v>15</v>
      </c>
      <c r="F98" s="15">
        <f>E98*5.2%</f>
        <v>0.78</v>
      </c>
      <c r="G98" s="15">
        <v>0</v>
      </c>
      <c r="H98" s="15">
        <f>E98*55%</f>
        <v>8.25</v>
      </c>
      <c r="I98" s="15">
        <f>E98*234%</f>
        <v>35.099999999999994</v>
      </c>
      <c r="J98" s="15">
        <f>E98*0.1%</f>
        <v>1.4999999999999999E-2</v>
      </c>
      <c r="K98" s="15">
        <f>E98*4%</f>
        <v>0.6</v>
      </c>
      <c r="L98" s="15">
        <v>0</v>
      </c>
      <c r="M98" s="15">
        <f>E98*160%</f>
        <v>24</v>
      </c>
      <c r="N98" s="15">
        <f>E98*146%</f>
        <v>21.9</v>
      </c>
      <c r="O98" s="15">
        <f>E98*105%</f>
        <v>15.75</v>
      </c>
      <c r="P98" s="15">
        <f>E98*3.2%</f>
        <v>0.48</v>
      </c>
      <c r="Q98" s="15">
        <f>C98/1000*600</f>
        <v>9</v>
      </c>
    </row>
    <row r="99" spans="1:17" ht="18.75" x14ac:dyDescent="0.3">
      <c r="A99" s="55"/>
      <c r="B99" s="15" t="s">
        <v>71</v>
      </c>
      <c r="C99" s="15">
        <v>10</v>
      </c>
      <c r="D99" s="15">
        <v>0</v>
      </c>
      <c r="E99" s="15">
        <v>10</v>
      </c>
      <c r="F99" s="15">
        <v>0</v>
      </c>
      <c r="G99" s="15">
        <v>0</v>
      </c>
      <c r="H99" s="15">
        <f>E99*99.8%</f>
        <v>9.98</v>
      </c>
      <c r="I99" s="15">
        <f>E99*379%</f>
        <v>37.9</v>
      </c>
      <c r="J99" s="15">
        <v>0</v>
      </c>
      <c r="K99" s="15">
        <v>0</v>
      </c>
      <c r="L99" s="15">
        <v>0</v>
      </c>
      <c r="M99" s="15">
        <f>E99*2%</f>
        <v>0.2</v>
      </c>
      <c r="N99" s="15">
        <v>0</v>
      </c>
      <c r="O99" s="15">
        <v>0</v>
      </c>
      <c r="P99" s="15">
        <f>E99*0.3%</f>
        <v>0.03</v>
      </c>
      <c r="Q99" s="15">
        <f>C99/1000*60</f>
        <v>0.6</v>
      </c>
    </row>
    <row r="100" spans="1:17" ht="18.75" x14ac:dyDescent="0.3">
      <c r="A100" s="55">
        <v>5</v>
      </c>
      <c r="B100" s="46" t="s">
        <v>69</v>
      </c>
      <c r="C100" s="19">
        <v>25</v>
      </c>
      <c r="D100" s="19">
        <f t="shared" ref="D100:P100" si="11">SUM(D98:D99)</f>
        <v>0</v>
      </c>
      <c r="E100" s="19">
        <v>150</v>
      </c>
      <c r="F100" s="19">
        <f t="shared" si="11"/>
        <v>0.78</v>
      </c>
      <c r="G100" s="19">
        <f t="shared" si="11"/>
        <v>0</v>
      </c>
      <c r="H100" s="19">
        <f t="shared" si="11"/>
        <v>18.23</v>
      </c>
      <c r="I100" s="19">
        <f t="shared" si="11"/>
        <v>73</v>
      </c>
      <c r="J100" s="19">
        <f t="shared" si="11"/>
        <v>1.4999999999999999E-2</v>
      </c>
      <c r="K100" s="19">
        <f t="shared" si="11"/>
        <v>0.6</v>
      </c>
      <c r="L100" s="19">
        <f t="shared" si="11"/>
        <v>0</v>
      </c>
      <c r="M100" s="19">
        <f t="shared" si="11"/>
        <v>24.2</v>
      </c>
      <c r="N100" s="19">
        <f t="shared" si="11"/>
        <v>21.9</v>
      </c>
      <c r="O100" s="19">
        <f t="shared" si="11"/>
        <v>15.75</v>
      </c>
      <c r="P100" s="19">
        <f t="shared" si="11"/>
        <v>0.51</v>
      </c>
      <c r="Q100" s="19">
        <f>SUM(Q98:Q99)</f>
        <v>9.6</v>
      </c>
    </row>
    <row r="101" spans="1:17" ht="18.75" x14ac:dyDescent="0.3">
      <c r="A101" s="5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1:17" ht="18.75" x14ac:dyDescent="0.3">
      <c r="A102" s="55">
        <v>6</v>
      </c>
      <c r="B102" s="46" t="s">
        <v>89</v>
      </c>
      <c r="C102" s="19">
        <v>100</v>
      </c>
      <c r="D102" s="19">
        <v>0</v>
      </c>
      <c r="E102" s="19">
        <f>C102-D102</f>
        <v>100</v>
      </c>
      <c r="F102" s="19">
        <f>E102*0.8%</f>
        <v>0.8</v>
      </c>
      <c r="G102" s="19">
        <f>E102*0.3%</f>
        <v>0.3</v>
      </c>
      <c r="H102" s="19">
        <f>E102*8.1%</f>
        <v>8.1</v>
      </c>
      <c r="I102" s="19">
        <f>E102*40%</f>
        <v>40</v>
      </c>
      <c r="J102" s="19">
        <f>E102*0.06%</f>
        <v>0.06</v>
      </c>
      <c r="K102" s="19">
        <f>E102*38%</f>
        <v>38</v>
      </c>
      <c r="L102" s="19">
        <v>0</v>
      </c>
      <c r="M102" s="19">
        <f>E102*35%</f>
        <v>35</v>
      </c>
      <c r="N102" s="19">
        <f>E102*17%</f>
        <v>17</v>
      </c>
      <c r="O102" s="19">
        <f>E102*35%</f>
        <v>35</v>
      </c>
      <c r="P102" s="19">
        <f>E102*0.1%</f>
        <v>0.1</v>
      </c>
      <c r="Q102" s="19">
        <f>C102/1000*120</f>
        <v>12</v>
      </c>
    </row>
    <row r="103" spans="1:17" ht="18.75" x14ac:dyDescent="0.3">
      <c r="A103" s="55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</row>
    <row r="104" spans="1:17" ht="18.75" x14ac:dyDescent="0.3">
      <c r="A104" s="55">
        <v>7</v>
      </c>
      <c r="B104" s="46" t="s">
        <v>82</v>
      </c>
      <c r="C104" s="39">
        <v>3</v>
      </c>
      <c r="D104" s="19">
        <v>0</v>
      </c>
      <c r="E104" s="39">
        <f>C104-D104</f>
        <v>3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39">
        <f>C104/1000*20</f>
        <v>0.06</v>
      </c>
    </row>
    <row r="105" spans="1:17" ht="23.25" x14ac:dyDescent="0.35">
      <c r="A105" s="5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37">
        <f>Q86+Q91+Q94+Q96+Q100+Q102+Q104</f>
        <v>60.96</v>
      </c>
    </row>
    <row r="106" spans="1:17" ht="23.25" x14ac:dyDescent="0.35">
      <c r="A106" s="55"/>
      <c r="B106" s="37" t="s">
        <v>73</v>
      </c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</row>
    <row r="107" spans="1:17" ht="23.25" x14ac:dyDescent="0.35">
      <c r="A107" s="60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</row>
    <row r="108" spans="1:17" ht="162.75" customHeight="1" x14ac:dyDescent="0.35">
      <c r="A108" s="60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</row>
    <row r="109" spans="1:17" ht="19.5" customHeight="1" x14ac:dyDescent="0.3">
      <c r="A109" s="55"/>
      <c r="B109" s="87" t="s">
        <v>0</v>
      </c>
      <c r="C109" s="88"/>
      <c r="D109" s="1"/>
      <c r="E109" s="1"/>
      <c r="F109" s="89" t="s">
        <v>1</v>
      </c>
      <c r="G109" s="89" t="s">
        <v>2</v>
      </c>
      <c r="H109" s="89" t="s">
        <v>3</v>
      </c>
      <c r="I109" s="89" t="s">
        <v>4</v>
      </c>
      <c r="J109" s="89" t="s">
        <v>5</v>
      </c>
      <c r="K109" s="89"/>
      <c r="L109" s="89"/>
      <c r="M109" s="89" t="s">
        <v>6</v>
      </c>
      <c r="N109" s="89"/>
      <c r="O109" s="89"/>
      <c r="P109" s="89"/>
      <c r="Q109" s="12"/>
    </row>
    <row r="110" spans="1:17" ht="38.25" customHeight="1" x14ac:dyDescent="0.3">
      <c r="A110" s="55"/>
      <c r="B110" s="87"/>
      <c r="C110" s="88"/>
      <c r="D110" s="1"/>
      <c r="E110" s="1"/>
      <c r="F110" s="89"/>
      <c r="G110" s="89"/>
      <c r="H110" s="89"/>
      <c r="I110" s="89"/>
      <c r="J110" s="2" t="s">
        <v>7</v>
      </c>
      <c r="K110" s="3" t="s">
        <v>8</v>
      </c>
      <c r="L110" s="2" t="s">
        <v>9</v>
      </c>
      <c r="M110" s="2" t="s">
        <v>10</v>
      </c>
      <c r="N110" s="2" t="s">
        <v>11</v>
      </c>
      <c r="O110" s="2" t="s">
        <v>12</v>
      </c>
      <c r="P110" s="2" t="s">
        <v>13</v>
      </c>
      <c r="Q110" s="38" t="s">
        <v>68</v>
      </c>
    </row>
    <row r="111" spans="1:17" ht="30" x14ac:dyDescent="0.3">
      <c r="A111" s="55"/>
      <c r="B111" s="7" t="s">
        <v>90</v>
      </c>
      <c r="C111" s="14" t="s">
        <v>19</v>
      </c>
      <c r="D111" s="13" t="s">
        <v>21</v>
      </c>
      <c r="E111" s="13" t="s">
        <v>20</v>
      </c>
      <c r="F111" s="8"/>
      <c r="G111" s="8"/>
      <c r="H111" s="8"/>
      <c r="I111" s="9"/>
      <c r="J111" s="10"/>
      <c r="K111" s="11"/>
      <c r="L111" s="10"/>
      <c r="M111" s="4"/>
      <c r="N111" s="4"/>
      <c r="O111" s="4"/>
      <c r="P111" s="4"/>
    </row>
    <row r="112" spans="1:17" ht="18.75" x14ac:dyDescent="0.3">
      <c r="A112" s="55"/>
      <c r="B112" s="12" t="s">
        <v>79</v>
      </c>
      <c r="C112" s="15">
        <v>150</v>
      </c>
      <c r="D112" s="15">
        <f>C112*0.25</f>
        <v>37.5</v>
      </c>
      <c r="E112" s="15">
        <f>C112-D112</f>
        <v>112.5</v>
      </c>
      <c r="F112" s="15">
        <f>E112*2%</f>
        <v>2.25</v>
      </c>
      <c r="G112" s="15">
        <f>E112*0.4%</f>
        <v>0.45</v>
      </c>
      <c r="H112" s="15">
        <f>E112*16.3%</f>
        <v>18.337500000000002</v>
      </c>
      <c r="I112" s="15">
        <f>E112*80%</f>
        <v>90</v>
      </c>
      <c r="J112" s="15">
        <f>E112*0.12%</f>
        <v>0.13499999999999998</v>
      </c>
      <c r="K112" s="15">
        <f>E112*20%</f>
        <v>22.5</v>
      </c>
      <c r="L112" s="15">
        <v>0</v>
      </c>
      <c r="M112" s="15">
        <f>E112*10%</f>
        <v>11.25</v>
      </c>
      <c r="N112" s="15">
        <f>E112*58%</f>
        <v>65.25</v>
      </c>
      <c r="O112" s="15">
        <f>E112*23%</f>
        <v>25.875</v>
      </c>
      <c r="P112" s="15">
        <f>E112*0.9%</f>
        <v>1.0125000000000002</v>
      </c>
      <c r="Q112" s="15">
        <f>C112/1000*60</f>
        <v>9</v>
      </c>
    </row>
    <row r="113" spans="1:17" ht="18.75" x14ac:dyDescent="0.3">
      <c r="A113" s="55"/>
      <c r="B113" s="12" t="s">
        <v>23</v>
      </c>
      <c r="C113" s="15">
        <v>6</v>
      </c>
      <c r="D113" s="15">
        <v>0</v>
      </c>
      <c r="E113" s="15">
        <f>C113-D113</f>
        <v>6</v>
      </c>
      <c r="F113" s="15">
        <f>E113*0.5%</f>
        <v>0.03</v>
      </c>
      <c r="G113" s="15">
        <f>E113*82.5%</f>
        <v>4.9499999999999993</v>
      </c>
      <c r="H113" s="15">
        <f>E113*0.8%</f>
        <v>4.8000000000000001E-2</v>
      </c>
      <c r="I113" s="15">
        <f>E113*748%</f>
        <v>44.88</v>
      </c>
      <c r="J113" s="15">
        <v>0</v>
      </c>
      <c r="K113" s="15">
        <v>0</v>
      </c>
      <c r="L113" s="15">
        <f>E113*0.59%</f>
        <v>3.5400000000000001E-2</v>
      </c>
      <c r="M113" s="15">
        <f>E113*12%</f>
        <v>0.72</v>
      </c>
      <c r="N113" s="15">
        <f>E113*19%</f>
        <v>1.1400000000000001</v>
      </c>
      <c r="O113" s="15">
        <f>E113*0.4%</f>
        <v>2.4E-2</v>
      </c>
      <c r="P113" s="15">
        <f>E113*0.2%</f>
        <v>1.2E-2</v>
      </c>
      <c r="Q113" s="36">
        <f>C113/1000*300</f>
        <v>1.8</v>
      </c>
    </row>
    <row r="114" spans="1:17" ht="37.5" x14ac:dyDescent="0.3">
      <c r="A114" s="55">
        <v>1</v>
      </c>
      <c r="B114" s="45" t="s">
        <v>91</v>
      </c>
      <c r="C114" s="19">
        <f t="shared" ref="C114:Q114" si="12">SUM(C112:C113)</f>
        <v>156</v>
      </c>
      <c r="D114" s="19">
        <f t="shared" si="12"/>
        <v>37.5</v>
      </c>
      <c r="E114" s="19">
        <f t="shared" si="12"/>
        <v>118.5</v>
      </c>
      <c r="F114" s="19">
        <f t="shared" si="12"/>
        <v>2.2799999999999998</v>
      </c>
      <c r="G114" s="19">
        <f t="shared" si="12"/>
        <v>5.3999999999999995</v>
      </c>
      <c r="H114" s="19">
        <f t="shared" si="12"/>
        <v>18.3855</v>
      </c>
      <c r="I114" s="19">
        <f t="shared" si="12"/>
        <v>134.88</v>
      </c>
      <c r="J114" s="19">
        <f t="shared" si="12"/>
        <v>0.13499999999999998</v>
      </c>
      <c r="K114" s="19">
        <f t="shared" si="12"/>
        <v>22.5</v>
      </c>
      <c r="L114" s="19">
        <f t="shared" si="12"/>
        <v>3.5400000000000001E-2</v>
      </c>
      <c r="M114" s="19">
        <f t="shared" si="12"/>
        <v>11.97</v>
      </c>
      <c r="N114" s="19">
        <f t="shared" si="12"/>
        <v>66.39</v>
      </c>
      <c r="O114" s="19">
        <f t="shared" si="12"/>
        <v>25.899000000000001</v>
      </c>
      <c r="P114" s="19">
        <f t="shared" si="12"/>
        <v>1.0245000000000002</v>
      </c>
      <c r="Q114" s="19">
        <f t="shared" si="12"/>
        <v>10.8</v>
      </c>
    </row>
    <row r="115" spans="1:17" ht="18.75" x14ac:dyDescent="0.3">
      <c r="A115" s="55"/>
      <c r="B115" s="5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36"/>
    </row>
    <row r="116" spans="1:17" ht="18.75" x14ac:dyDescent="0.3">
      <c r="A116" s="55"/>
      <c r="B116" s="6" t="s">
        <v>18</v>
      </c>
      <c r="C116" s="15">
        <v>3</v>
      </c>
      <c r="D116" s="15">
        <v>0</v>
      </c>
      <c r="E116" s="15">
        <v>5</v>
      </c>
      <c r="F116" s="15">
        <v>0</v>
      </c>
      <c r="G116" s="17">
        <f>E116*99.9%</f>
        <v>4.995000000000001</v>
      </c>
      <c r="H116" s="15">
        <v>0</v>
      </c>
      <c r="I116" s="15">
        <f>E116*8.99%</f>
        <v>0.44950000000000001</v>
      </c>
      <c r="J116" s="15">
        <f>E116*0.06%</f>
        <v>2.9999999999999996E-3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2">
        <f>C116/1000*100</f>
        <v>0.3</v>
      </c>
    </row>
    <row r="117" spans="1:17" ht="18.75" x14ac:dyDescent="0.3">
      <c r="A117" s="55"/>
      <c r="B117" s="12" t="s">
        <v>81</v>
      </c>
      <c r="C117" s="15">
        <v>100</v>
      </c>
      <c r="D117" s="15">
        <f>C117*25%</f>
        <v>25</v>
      </c>
      <c r="E117" s="15">
        <v>75</v>
      </c>
      <c r="F117" s="15">
        <f>E117*18.2%</f>
        <v>13.65</v>
      </c>
      <c r="G117" s="15">
        <f>E117*18.4%</f>
        <v>13.799999999999999</v>
      </c>
      <c r="H117" s="15">
        <f>E117*0.7%</f>
        <v>0.52499999999999991</v>
      </c>
      <c r="I117" s="15">
        <f>E117*241%</f>
        <v>180.75</v>
      </c>
      <c r="J117" s="15">
        <f>E117*0.07%</f>
        <v>5.2500000000000005E-2</v>
      </c>
      <c r="K117" s="15">
        <v>0</v>
      </c>
      <c r="L117" s="15">
        <f>E117*0.07%</f>
        <v>5.2500000000000005E-2</v>
      </c>
      <c r="M117" s="15">
        <f>E117*16%</f>
        <v>12</v>
      </c>
      <c r="N117" s="15">
        <f>E117*165%</f>
        <v>123.75</v>
      </c>
      <c r="O117" s="15">
        <f>E117*18%</f>
        <v>13.5</v>
      </c>
      <c r="P117" s="15">
        <f>E117*1.6%</f>
        <v>1.2</v>
      </c>
      <c r="Q117" s="15">
        <f>C117/1000*240</f>
        <v>24</v>
      </c>
    </row>
    <row r="118" spans="1:17" ht="18.75" x14ac:dyDescent="0.3">
      <c r="A118" s="55">
        <v>2</v>
      </c>
      <c r="B118" s="46" t="s">
        <v>88</v>
      </c>
      <c r="C118" s="19">
        <f>SUM(C117:C117)</f>
        <v>100</v>
      </c>
      <c r="D118" s="19">
        <f>SUM(D117:D117)</f>
        <v>25</v>
      </c>
      <c r="E118" s="19">
        <f>C118-D118</f>
        <v>75</v>
      </c>
      <c r="F118" s="19">
        <f t="shared" ref="F118:P118" si="13">SUM(F117:F117)</f>
        <v>13.65</v>
      </c>
      <c r="G118" s="19">
        <f t="shared" si="13"/>
        <v>13.799999999999999</v>
      </c>
      <c r="H118" s="19">
        <f t="shared" si="13"/>
        <v>0.52499999999999991</v>
      </c>
      <c r="I118" s="19">
        <f t="shared" si="13"/>
        <v>180.75</v>
      </c>
      <c r="J118" s="19">
        <f t="shared" si="13"/>
        <v>5.2500000000000005E-2</v>
      </c>
      <c r="K118" s="19">
        <f t="shared" si="13"/>
        <v>0</v>
      </c>
      <c r="L118" s="19">
        <f t="shared" si="13"/>
        <v>5.2500000000000005E-2</v>
      </c>
      <c r="M118" s="19">
        <f t="shared" si="13"/>
        <v>12</v>
      </c>
      <c r="N118" s="19">
        <f t="shared" si="13"/>
        <v>123.75</v>
      </c>
      <c r="O118" s="19">
        <f t="shared" si="13"/>
        <v>13.5</v>
      </c>
      <c r="P118" s="19">
        <f t="shared" si="13"/>
        <v>1.2</v>
      </c>
      <c r="Q118" s="19">
        <f>SUM(Q116:Q117)</f>
        <v>24.3</v>
      </c>
    </row>
    <row r="119" spans="1:17" ht="14.25" customHeight="1" x14ac:dyDescent="0.3">
      <c r="A119" s="55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</row>
    <row r="120" spans="1:17" ht="18.75" hidden="1" x14ac:dyDescent="0.3">
      <c r="A120" s="55"/>
      <c r="B120" s="6"/>
      <c r="C120" s="15"/>
      <c r="D120" s="15"/>
      <c r="E120" s="15"/>
      <c r="F120" s="15"/>
      <c r="G120" s="17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17" ht="18.75" hidden="1" x14ac:dyDescent="0.3">
      <c r="A121" s="55"/>
      <c r="B121" s="18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</row>
    <row r="122" spans="1:17" ht="18.75" hidden="1" x14ac:dyDescent="0.3">
      <c r="A122" s="55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</row>
    <row r="123" spans="1:17" ht="18.75" x14ac:dyDescent="0.3">
      <c r="A123" s="38"/>
      <c r="B123" s="6" t="s">
        <v>76</v>
      </c>
      <c r="C123" s="15">
        <v>50</v>
      </c>
      <c r="D123" s="15">
        <f>C123*0.2</f>
        <v>10</v>
      </c>
      <c r="E123" s="15">
        <f>C123-D123</f>
        <v>40</v>
      </c>
      <c r="F123" s="15">
        <f>E123*0.015</f>
        <v>0.6</v>
      </c>
      <c r="G123" s="15">
        <f>E123*0.001</f>
        <v>0.04</v>
      </c>
      <c r="H123" s="15">
        <f>E123*0.091</f>
        <v>3.6399999999999997</v>
      </c>
      <c r="I123" s="15">
        <f>E123*0.42</f>
        <v>16.8</v>
      </c>
      <c r="J123" s="15">
        <f>E123*0.02%</f>
        <v>8.0000000000000002E-3</v>
      </c>
      <c r="K123" s="15">
        <f>E123*10%</f>
        <v>4</v>
      </c>
      <c r="L123" s="15">
        <v>0</v>
      </c>
      <c r="M123" s="15">
        <f>E123*37%</f>
        <v>14.8</v>
      </c>
      <c r="N123" s="15">
        <f>E123*43%</f>
        <v>17.2</v>
      </c>
      <c r="O123" s="15">
        <f>E123*22%</f>
        <v>8.8000000000000007</v>
      </c>
      <c r="P123" s="15">
        <f>E123*1.4%</f>
        <v>0.55999999999999994</v>
      </c>
      <c r="Q123" s="15">
        <f>C123/1000*60</f>
        <v>3</v>
      </c>
    </row>
    <row r="124" spans="1:17" ht="18.75" x14ac:dyDescent="0.3">
      <c r="A124" s="38"/>
      <c r="B124" s="6" t="s">
        <v>77</v>
      </c>
      <c r="C124" s="15">
        <v>6</v>
      </c>
      <c r="D124" s="15">
        <v>0</v>
      </c>
      <c r="E124" s="15">
        <f>C124-D124</f>
        <v>6</v>
      </c>
      <c r="F124" s="15">
        <f>E124*3.1%</f>
        <v>0.186</v>
      </c>
      <c r="G124" s="15">
        <f>E124*0.2%</f>
        <v>1.2E-2</v>
      </c>
      <c r="H124" s="15">
        <f>E124*6.5%</f>
        <v>0.39</v>
      </c>
      <c r="I124" s="15">
        <f>E124*40%</f>
        <v>2.4000000000000004</v>
      </c>
      <c r="J124" s="15">
        <f>E124*0.11%</f>
        <v>6.6E-3</v>
      </c>
      <c r="K124" s="15">
        <f>E124*10%</f>
        <v>0.60000000000000009</v>
      </c>
      <c r="L124" s="15">
        <v>0</v>
      </c>
      <c r="M124" s="15">
        <f>E124*20%</f>
        <v>1.2000000000000002</v>
      </c>
      <c r="N124" s="15">
        <f>E124*62%</f>
        <v>3.7199999999999998</v>
      </c>
      <c r="O124" s="15">
        <f>E124*21%</f>
        <v>1.26</v>
      </c>
      <c r="P124" s="15">
        <f>E124*0.7%</f>
        <v>4.1999999999999996E-2</v>
      </c>
      <c r="Q124" s="15">
        <f>C124/1000*270</f>
        <v>1.62</v>
      </c>
    </row>
    <row r="125" spans="1:17" ht="18.75" x14ac:dyDescent="0.3">
      <c r="A125" s="38"/>
      <c r="B125" s="6" t="s">
        <v>18</v>
      </c>
      <c r="C125" s="15">
        <v>5</v>
      </c>
      <c r="D125" s="15">
        <v>0</v>
      </c>
      <c r="E125" s="15">
        <v>5</v>
      </c>
      <c r="F125" s="15">
        <v>0</v>
      </c>
      <c r="G125" s="17">
        <f>E125*0.999</f>
        <v>4.9950000000000001</v>
      </c>
      <c r="H125" s="15">
        <v>0</v>
      </c>
      <c r="I125" s="15">
        <f>E125*8.99</f>
        <v>44.95</v>
      </c>
      <c r="J125" s="15">
        <f>E125*0.06%</f>
        <v>2.9999999999999996E-3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f>C125/1000*100</f>
        <v>0.5</v>
      </c>
    </row>
    <row r="126" spans="1:17" ht="18.75" x14ac:dyDescent="0.3">
      <c r="A126" s="38">
        <v>3</v>
      </c>
      <c r="B126" s="45" t="s">
        <v>75</v>
      </c>
      <c r="C126" s="19">
        <f t="shared" ref="C126:P126" si="14">SUM(C123:C125)</f>
        <v>61</v>
      </c>
      <c r="D126" s="19">
        <f t="shared" si="14"/>
        <v>10</v>
      </c>
      <c r="E126" s="19">
        <f t="shared" si="14"/>
        <v>51</v>
      </c>
      <c r="F126" s="19">
        <f t="shared" si="14"/>
        <v>0.78600000000000003</v>
      </c>
      <c r="G126" s="19">
        <f t="shared" si="14"/>
        <v>5.0469999999999997</v>
      </c>
      <c r="H126" s="19">
        <f t="shared" si="14"/>
        <v>4.0299999999999994</v>
      </c>
      <c r="I126" s="19">
        <f t="shared" si="14"/>
        <v>64.150000000000006</v>
      </c>
      <c r="J126" s="19">
        <f t="shared" si="14"/>
        <v>1.7600000000000001E-2</v>
      </c>
      <c r="K126" s="19">
        <f t="shared" si="14"/>
        <v>4.5999999999999996</v>
      </c>
      <c r="L126" s="19">
        <f t="shared" si="14"/>
        <v>0</v>
      </c>
      <c r="M126" s="19">
        <f t="shared" si="14"/>
        <v>16</v>
      </c>
      <c r="N126" s="19">
        <f t="shared" si="14"/>
        <v>20.919999999999998</v>
      </c>
      <c r="O126" s="19">
        <f t="shared" si="14"/>
        <v>10.06</v>
      </c>
      <c r="P126" s="19">
        <f t="shared" si="14"/>
        <v>0.60199999999999998</v>
      </c>
      <c r="Q126" s="19">
        <f>SUM(Q123:Q125)</f>
        <v>5.12</v>
      </c>
    </row>
    <row r="127" spans="1:17" ht="18.75" x14ac:dyDescent="0.3">
      <c r="A127" s="5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1:17" ht="18.75" x14ac:dyDescent="0.3">
      <c r="A128" s="55">
        <v>4</v>
      </c>
      <c r="B128" s="46" t="s">
        <v>58</v>
      </c>
      <c r="C128" s="19">
        <v>30</v>
      </c>
      <c r="D128" s="19">
        <v>0</v>
      </c>
      <c r="E128" s="19">
        <v>30</v>
      </c>
      <c r="F128" s="19">
        <f>E128*7.9%</f>
        <v>2.37</v>
      </c>
      <c r="G128" s="19">
        <f>E128*1%</f>
        <v>0.3</v>
      </c>
      <c r="H128" s="19">
        <f>E128*48.1%</f>
        <v>14.430000000000001</v>
      </c>
      <c r="I128" s="19">
        <f>E128*239%</f>
        <v>71.7</v>
      </c>
      <c r="J128" s="19">
        <f>E128*0.16%</f>
        <v>4.8000000000000001E-2</v>
      </c>
      <c r="K128" s="19">
        <v>0</v>
      </c>
      <c r="L128" s="19">
        <v>0</v>
      </c>
      <c r="M128" s="19">
        <f>E128*23%</f>
        <v>6.9</v>
      </c>
      <c r="N128" s="19">
        <f>E128*87%</f>
        <v>26.1</v>
      </c>
      <c r="O128" s="19">
        <f>E128*33%</f>
        <v>9.9</v>
      </c>
      <c r="P128" s="19">
        <f>E128*2%</f>
        <v>0.6</v>
      </c>
      <c r="Q128" s="19">
        <f>C128/1000*50</f>
        <v>1.5</v>
      </c>
    </row>
    <row r="129" spans="1:17" ht="18.75" x14ac:dyDescent="0.3">
      <c r="A129" s="5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1:17" ht="18.75" x14ac:dyDescent="0.3">
      <c r="A130" s="55"/>
      <c r="B130" s="15" t="s">
        <v>70</v>
      </c>
      <c r="C130" s="15">
        <v>15</v>
      </c>
      <c r="D130" s="15">
        <v>0</v>
      </c>
      <c r="E130" s="15">
        <v>15</v>
      </c>
      <c r="F130" s="15">
        <f>E130*5.2%</f>
        <v>0.78</v>
      </c>
      <c r="G130" s="15">
        <v>0</v>
      </c>
      <c r="H130" s="15">
        <f>E130*55%</f>
        <v>8.25</v>
      </c>
      <c r="I130" s="15">
        <f>E130*234%</f>
        <v>35.099999999999994</v>
      </c>
      <c r="J130" s="15">
        <f>E130*0.1%</f>
        <v>1.4999999999999999E-2</v>
      </c>
      <c r="K130" s="15">
        <f>E130*4%</f>
        <v>0.6</v>
      </c>
      <c r="L130" s="15">
        <v>0</v>
      </c>
      <c r="M130" s="15">
        <f>E130*160%</f>
        <v>24</v>
      </c>
      <c r="N130" s="15">
        <f>E130*146%</f>
        <v>21.9</v>
      </c>
      <c r="O130" s="15">
        <f>E130*105%</f>
        <v>15.75</v>
      </c>
      <c r="P130" s="15">
        <f>E130*3.2%</f>
        <v>0.48</v>
      </c>
      <c r="Q130" s="15">
        <f>C130/1000*600</f>
        <v>9</v>
      </c>
    </row>
    <row r="131" spans="1:17" ht="18.75" x14ac:dyDescent="0.3">
      <c r="A131" s="55"/>
      <c r="B131" s="15" t="s">
        <v>71</v>
      </c>
      <c r="C131" s="15">
        <v>10</v>
      </c>
      <c r="D131" s="15">
        <v>0</v>
      </c>
      <c r="E131" s="15">
        <v>10</v>
      </c>
      <c r="F131" s="15">
        <v>0</v>
      </c>
      <c r="G131" s="15">
        <v>0</v>
      </c>
      <c r="H131" s="15">
        <f>E131*99.8%</f>
        <v>9.98</v>
      </c>
      <c r="I131" s="15">
        <f>E131*379%</f>
        <v>37.9</v>
      </c>
      <c r="J131" s="15">
        <v>0</v>
      </c>
      <c r="K131" s="15">
        <v>0</v>
      </c>
      <c r="L131" s="15">
        <v>0</v>
      </c>
      <c r="M131" s="15">
        <f>E131*2%</f>
        <v>0.2</v>
      </c>
      <c r="N131" s="15">
        <v>0</v>
      </c>
      <c r="O131" s="15">
        <v>0</v>
      </c>
      <c r="P131" s="15">
        <f>E131*0.3%</f>
        <v>0.03</v>
      </c>
      <c r="Q131" s="15">
        <f>C131/1000*60</f>
        <v>0.6</v>
      </c>
    </row>
    <row r="132" spans="1:17" ht="18.75" x14ac:dyDescent="0.3">
      <c r="A132" s="55">
        <v>5</v>
      </c>
      <c r="B132" s="46" t="s">
        <v>69</v>
      </c>
      <c r="C132" s="19">
        <v>25</v>
      </c>
      <c r="D132" s="19">
        <f t="shared" ref="D132:P132" si="15">SUM(D130:D131)</f>
        <v>0</v>
      </c>
      <c r="E132" s="19">
        <v>150</v>
      </c>
      <c r="F132" s="19">
        <f t="shared" si="15"/>
        <v>0.78</v>
      </c>
      <c r="G132" s="19">
        <f t="shared" si="15"/>
        <v>0</v>
      </c>
      <c r="H132" s="19">
        <f t="shared" si="15"/>
        <v>18.23</v>
      </c>
      <c r="I132" s="19">
        <f t="shared" si="15"/>
        <v>73</v>
      </c>
      <c r="J132" s="19">
        <f t="shared" si="15"/>
        <v>1.4999999999999999E-2</v>
      </c>
      <c r="K132" s="19">
        <f t="shared" si="15"/>
        <v>0.6</v>
      </c>
      <c r="L132" s="19">
        <f t="shared" si="15"/>
        <v>0</v>
      </c>
      <c r="M132" s="19">
        <f t="shared" si="15"/>
        <v>24.2</v>
      </c>
      <c r="N132" s="19">
        <f t="shared" si="15"/>
        <v>21.9</v>
      </c>
      <c r="O132" s="19">
        <f t="shared" si="15"/>
        <v>15.75</v>
      </c>
      <c r="P132" s="19">
        <f t="shared" si="15"/>
        <v>0.51</v>
      </c>
      <c r="Q132" s="19">
        <f>SUM(Q130:Q131)</f>
        <v>9.6</v>
      </c>
    </row>
    <row r="133" spans="1:17" ht="18.75" x14ac:dyDescent="0.3">
      <c r="A133" s="5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1:17" ht="18.75" x14ac:dyDescent="0.3">
      <c r="A134" s="55">
        <v>6</v>
      </c>
      <c r="B134" s="46" t="s">
        <v>89</v>
      </c>
      <c r="C134" s="19">
        <v>80</v>
      </c>
      <c r="D134" s="19">
        <v>0</v>
      </c>
      <c r="E134" s="19">
        <f>C134-D134</f>
        <v>80</v>
      </c>
      <c r="F134" s="19">
        <f>E134*0.8%</f>
        <v>0.64</v>
      </c>
      <c r="G134" s="19">
        <f>E134*0.3%</f>
        <v>0.24</v>
      </c>
      <c r="H134" s="19">
        <f>E134*8.1%</f>
        <v>6.48</v>
      </c>
      <c r="I134" s="19">
        <f>E134*40%</f>
        <v>32</v>
      </c>
      <c r="J134" s="19">
        <f>E134*0.06%</f>
        <v>4.7999999999999994E-2</v>
      </c>
      <c r="K134" s="19">
        <f>E134*38%</f>
        <v>30.4</v>
      </c>
      <c r="L134" s="19">
        <v>0</v>
      </c>
      <c r="M134" s="19">
        <f>E134*35%</f>
        <v>28</v>
      </c>
      <c r="N134" s="19">
        <f>E134*17%</f>
        <v>13.600000000000001</v>
      </c>
      <c r="O134" s="19">
        <f>E134*35%</f>
        <v>28</v>
      </c>
      <c r="P134" s="19">
        <f>E134*0.1%</f>
        <v>0.08</v>
      </c>
      <c r="Q134" s="19">
        <f>C134/1000*120</f>
        <v>9.6</v>
      </c>
    </row>
    <row r="135" spans="1:17" ht="18.75" x14ac:dyDescent="0.3">
      <c r="A135" s="55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</row>
    <row r="136" spans="1:17" ht="18.75" x14ac:dyDescent="0.3">
      <c r="A136" s="55">
        <v>7</v>
      </c>
      <c r="B136" s="46" t="s">
        <v>82</v>
      </c>
      <c r="C136" s="39">
        <v>3</v>
      </c>
      <c r="D136" s="19">
        <v>0</v>
      </c>
      <c r="E136" s="39">
        <f>C136-D136</f>
        <v>3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9">
        <v>0</v>
      </c>
      <c r="O136" s="19">
        <v>0</v>
      </c>
      <c r="P136" s="19">
        <v>0</v>
      </c>
      <c r="Q136" s="39">
        <f>C136/1000*20</f>
        <v>0.06</v>
      </c>
    </row>
    <row r="137" spans="1:17" ht="18.75" x14ac:dyDescent="0.3">
      <c r="A137" s="5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1:17" ht="23.25" x14ac:dyDescent="0.35">
      <c r="A138" s="41"/>
      <c r="B138" s="37" t="s">
        <v>73</v>
      </c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>
        <f>Q114+Q118+Q126+Q128+Q132+Q134+Q136</f>
        <v>60.980000000000004</v>
      </c>
    </row>
    <row r="139" spans="1:17" ht="23.25" x14ac:dyDescent="0.35">
      <c r="A139" s="60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</row>
    <row r="140" spans="1:17" ht="23.25" x14ac:dyDescent="0.35">
      <c r="A140" s="60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</row>
    <row r="141" spans="1:17" ht="18.75" x14ac:dyDescent="0.3">
      <c r="A141" s="56"/>
    </row>
    <row r="142" spans="1:17" ht="165.75" customHeight="1" x14ac:dyDescent="0.3">
      <c r="A142" s="56"/>
    </row>
    <row r="143" spans="1:17" ht="18.75" x14ac:dyDescent="0.3">
      <c r="A143" s="55"/>
      <c r="B143" s="87" t="s">
        <v>0</v>
      </c>
      <c r="C143" s="88"/>
      <c r="D143" s="1"/>
      <c r="E143" s="1"/>
      <c r="F143" s="89" t="s">
        <v>1</v>
      </c>
      <c r="G143" s="89" t="s">
        <v>2</v>
      </c>
      <c r="H143" s="89" t="s">
        <v>3</v>
      </c>
      <c r="I143" s="89" t="s">
        <v>4</v>
      </c>
      <c r="J143" s="89" t="s">
        <v>5</v>
      </c>
      <c r="K143" s="89"/>
      <c r="L143" s="89"/>
      <c r="M143" s="89" t="s">
        <v>6</v>
      </c>
      <c r="N143" s="89"/>
      <c r="O143" s="89"/>
      <c r="P143" s="89"/>
      <c r="Q143" s="12"/>
    </row>
    <row r="144" spans="1:17" ht="29.25" customHeight="1" x14ac:dyDescent="0.3">
      <c r="A144" s="55"/>
      <c r="B144" s="87"/>
      <c r="C144" s="88"/>
      <c r="D144" s="1"/>
      <c r="E144" s="1"/>
      <c r="F144" s="89"/>
      <c r="G144" s="89"/>
      <c r="H144" s="89"/>
      <c r="I144" s="89"/>
      <c r="J144" s="2" t="s">
        <v>7</v>
      </c>
      <c r="K144" s="3" t="s">
        <v>8</v>
      </c>
      <c r="L144" s="2" t="s">
        <v>9</v>
      </c>
      <c r="M144" s="2" t="s">
        <v>10</v>
      </c>
      <c r="N144" s="2" t="s">
        <v>11</v>
      </c>
      <c r="O144" s="2" t="s">
        <v>12</v>
      </c>
      <c r="P144" s="2" t="s">
        <v>13</v>
      </c>
      <c r="Q144" s="12"/>
    </row>
    <row r="145" spans="1:17" ht="30" x14ac:dyDescent="0.3">
      <c r="A145" s="55"/>
      <c r="B145" s="7" t="s">
        <v>93</v>
      </c>
      <c r="C145" s="14" t="s">
        <v>19</v>
      </c>
      <c r="D145" s="13" t="s">
        <v>21</v>
      </c>
      <c r="E145" s="13" t="s">
        <v>20</v>
      </c>
      <c r="F145" s="8"/>
      <c r="G145" s="8"/>
      <c r="H145" s="8"/>
      <c r="I145" s="9"/>
      <c r="J145" s="10"/>
      <c r="K145" s="11"/>
      <c r="L145" s="10"/>
      <c r="M145" s="4"/>
      <c r="N145" s="4"/>
      <c r="O145" s="4"/>
      <c r="P145" s="4"/>
      <c r="Q145" s="38" t="s">
        <v>68</v>
      </c>
    </row>
    <row r="146" spans="1:17" ht="18.75" x14ac:dyDescent="0.3">
      <c r="A146" s="55"/>
      <c r="B146" s="6" t="s">
        <v>16</v>
      </c>
      <c r="C146" s="15">
        <v>20</v>
      </c>
      <c r="D146" s="15">
        <f>C146*0.2</f>
        <v>4</v>
      </c>
      <c r="E146" s="15">
        <f>C146-D146</f>
        <v>16</v>
      </c>
      <c r="F146" s="15">
        <f>E146*1.3%</f>
        <v>0.20800000000000002</v>
      </c>
      <c r="G146" s="17">
        <f>E146*0.001</f>
        <v>1.6E-2</v>
      </c>
      <c r="H146" s="15">
        <f>E146*0.072</f>
        <v>1.1519999999999999</v>
      </c>
      <c r="I146" s="15">
        <f>E146*0.3</f>
        <v>4.8</v>
      </c>
      <c r="J146" s="15">
        <f>E146*0.06%</f>
        <v>9.5999999999999992E-3</v>
      </c>
      <c r="K146" s="15">
        <f>E146*5%</f>
        <v>0.8</v>
      </c>
      <c r="L146" s="15">
        <v>0</v>
      </c>
      <c r="M146" s="15">
        <f>E146*51%</f>
        <v>8.16</v>
      </c>
      <c r="N146" s="15">
        <f>E146*55%</f>
        <v>8.8000000000000007</v>
      </c>
      <c r="O146" s="15">
        <f>E146*38%</f>
        <v>6.08</v>
      </c>
      <c r="P146" s="15">
        <f>E146*0.7%</f>
        <v>0.11199999999999999</v>
      </c>
      <c r="Q146" s="12">
        <f>C146/1000*60</f>
        <v>1.2</v>
      </c>
    </row>
    <row r="147" spans="1:17" ht="18.75" x14ac:dyDescent="0.3">
      <c r="A147" s="55"/>
      <c r="B147" s="6" t="s">
        <v>76</v>
      </c>
      <c r="C147" s="15">
        <v>20</v>
      </c>
      <c r="D147" s="15">
        <f>C147*0.2</f>
        <v>4</v>
      </c>
      <c r="E147" s="15">
        <f>C147-D147</f>
        <v>16</v>
      </c>
      <c r="F147" s="15">
        <f>E147*0.015</f>
        <v>0.24</v>
      </c>
      <c r="G147" s="15">
        <f>E147*0.001</f>
        <v>1.6E-2</v>
      </c>
      <c r="H147" s="15">
        <f>E147*0.091</f>
        <v>1.456</v>
      </c>
      <c r="I147" s="15">
        <f>E147*0.42</f>
        <v>6.72</v>
      </c>
      <c r="J147" s="15">
        <f>E147*0.02%</f>
        <v>3.2000000000000002E-3</v>
      </c>
      <c r="K147" s="15">
        <f>E147*10%</f>
        <v>1.6</v>
      </c>
      <c r="L147" s="15">
        <v>0</v>
      </c>
      <c r="M147" s="15">
        <f>E147*37%</f>
        <v>5.92</v>
      </c>
      <c r="N147" s="15">
        <f>E147*43%</f>
        <v>6.88</v>
      </c>
      <c r="O147" s="15">
        <f>E147*22%</f>
        <v>3.52</v>
      </c>
      <c r="P147" s="15">
        <f>E147*1.4%</f>
        <v>0.22399999999999998</v>
      </c>
      <c r="Q147" s="15">
        <f>C147/1000*60</f>
        <v>1.2</v>
      </c>
    </row>
    <row r="148" spans="1:17" ht="18.75" x14ac:dyDescent="0.3">
      <c r="A148" s="55"/>
      <c r="B148" s="6" t="s">
        <v>77</v>
      </c>
      <c r="C148" s="15">
        <v>5</v>
      </c>
      <c r="D148" s="15">
        <v>0</v>
      </c>
      <c r="E148" s="15">
        <f>C148-D148</f>
        <v>5</v>
      </c>
      <c r="F148" s="15">
        <f>E148*3.1%</f>
        <v>0.155</v>
      </c>
      <c r="G148" s="15">
        <f>E148*0.2%</f>
        <v>0.01</v>
      </c>
      <c r="H148" s="15">
        <f>E148*6.5%</f>
        <v>0.32500000000000001</v>
      </c>
      <c r="I148" s="15">
        <f>E148*40%</f>
        <v>2</v>
      </c>
      <c r="J148" s="15">
        <f>E148*0.11%</f>
        <v>5.5000000000000005E-3</v>
      </c>
      <c r="K148" s="15">
        <f>E148*10%</f>
        <v>0.5</v>
      </c>
      <c r="L148" s="15">
        <v>0</v>
      </c>
      <c r="M148" s="15">
        <f>E148*20%</f>
        <v>1</v>
      </c>
      <c r="N148" s="15">
        <f>E148*62%</f>
        <v>3.1</v>
      </c>
      <c r="O148" s="15">
        <f>E148*21%</f>
        <v>1.05</v>
      </c>
      <c r="P148" s="15">
        <f>E148*0.7%</f>
        <v>3.4999999999999996E-2</v>
      </c>
      <c r="Q148" s="15">
        <f>C148/1000*270</f>
        <v>1.35</v>
      </c>
    </row>
    <row r="149" spans="1:17" ht="18.75" x14ac:dyDescent="0.3">
      <c r="A149" s="51"/>
      <c r="B149" s="6" t="s">
        <v>18</v>
      </c>
      <c r="C149" s="15">
        <v>5</v>
      </c>
      <c r="D149" s="15">
        <v>0</v>
      </c>
      <c r="E149" s="15">
        <v>5</v>
      </c>
      <c r="F149" s="15">
        <v>0</v>
      </c>
      <c r="G149" s="17">
        <f>E149*0.999</f>
        <v>4.9950000000000001</v>
      </c>
      <c r="H149" s="15">
        <v>0</v>
      </c>
      <c r="I149" s="15">
        <f>E149*8.99</f>
        <v>44.95</v>
      </c>
      <c r="J149" s="15">
        <f>E149*0.06%</f>
        <v>2.9999999999999996E-3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15">
        <v>0</v>
      </c>
      <c r="Q149" s="15">
        <f>C149/1000*100</f>
        <v>0.5</v>
      </c>
    </row>
    <row r="150" spans="1:17" ht="18.75" x14ac:dyDescent="0.3">
      <c r="A150" s="51">
        <v>1</v>
      </c>
      <c r="B150" s="45" t="s">
        <v>75</v>
      </c>
      <c r="C150" s="19">
        <f>SUM(C146:C149)</f>
        <v>50</v>
      </c>
      <c r="D150" s="19">
        <f t="shared" ref="D150:P150" si="16">SUM(D147:D149)</f>
        <v>4</v>
      </c>
      <c r="E150" s="19">
        <f>SUM(E146:E149)</f>
        <v>42</v>
      </c>
      <c r="F150" s="19">
        <f t="shared" si="16"/>
        <v>0.39500000000000002</v>
      </c>
      <c r="G150" s="19">
        <f t="shared" si="16"/>
        <v>5.0209999999999999</v>
      </c>
      <c r="H150" s="19">
        <f t="shared" si="16"/>
        <v>1.7809999999999999</v>
      </c>
      <c r="I150" s="19">
        <f t="shared" si="16"/>
        <v>53.67</v>
      </c>
      <c r="J150" s="19">
        <f t="shared" si="16"/>
        <v>1.17E-2</v>
      </c>
      <c r="K150" s="19">
        <f t="shared" si="16"/>
        <v>2.1</v>
      </c>
      <c r="L150" s="19">
        <f t="shared" si="16"/>
        <v>0</v>
      </c>
      <c r="M150" s="19">
        <f t="shared" si="16"/>
        <v>6.92</v>
      </c>
      <c r="N150" s="19">
        <f t="shared" si="16"/>
        <v>9.98</v>
      </c>
      <c r="O150" s="19">
        <f t="shared" si="16"/>
        <v>4.57</v>
      </c>
      <c r="P150" s="19">
        <f t="shared" si="16"/>
        <v>0.25899999999999995</v>
      </c>
      <c r="Q150" s="19">
        <f>SUM(Q146:Q149)</f>
        <v>4.25</v>
      </c>
    </row>
    <row r="151" spans="1:17" ht="18.75" x14ac:dyDescent="0.3">
      <c r="A151" s="51"/>
      <c r="B151" s="5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</row>
    <row r="152" spans="1:17" ht="18.75" x14ac:dyDescent="0.3">
      <c r="A152" s="38"/>
      <c r="B152" s="12" t="s">
        <v>28</v>
      </c>
      <c r="C152" s="15">
        <v>15</v>
      </c>
      <c r="D152" s="15">
        <v>0</v>
      </c>
      <c r="E152" s="15">
        <f>SUM(C152:D152)</f>
        <v>15</v>
      </c>
      <c r="F152" s="15">
        <f>E152*1%</f>
        <v>0.15</v>
      </c>
      <c r="G152" s="15">
        <v>0</v>
      </c>
      <c r="H152" s="15">
        <f>E152*3.5%</f>
        <v>0.52500000000000002</v>
      </c>
      <c r="I152" s="15">
        <f>E152*19%</f>
        <v>2.85</v>
      </c>
      <c r="J152" s="15">
        <f>E152*0.03%</f>
        <v>4.4999999999999997E-3</v>
      </c>
      <c r="K152" s="15">
        <f>E152*10%</f>
        <v>1.5</v>
      </c>
      <c r="L152" s="15">
        <v>0</v>
      </c>
      <c r="M152" s="15">
        <f>C152*7%</f>
        <v>1.05</v>
      </c>
      <c r="N152" s="15">
        <f>E152*32%</f>
        <v>4.8</v>
      </c>
      <c r="O152" s="15">
        <f>E152*12%</f>
        <v>1.7999999999999998</v>
      </c>
      <c r="P152" s="15">
        <f>E152*0.7%</f>
        <v>0.10499999999999998</v>
      </c>
      <c r="Q152" s="15">
        <f>C152/1000*180</f>
        <v>2.6999999999999997</v>
      </c>
    </row>
    <row r="153" spans="1:17" ht="18.75" x14ac:dyDescent="0.3">
      <c r="A153" s="38"/>
      <c r="B153" s="12" t="s">
        <v>25</v>
      </c>
      <c r="C153" s="15">
        <v>61</v>
      </c>
      <c r="D153" s="15">
        <f>C153*0.25</f>
        <v>15.25</v>
      </c>
      <c r="E153" s="15">
        <f>SUM(C153-D153)</f>
        <v>45.75</v>
      </c>
      <c r="F153" s="15">
        <f>E153*18.6%</f>
        <v>8.509500000000001</v>
      </c>
      <c r="G153" s="15">
        <f>E153*16%</f>
        <v>7.32</v>
      </c>
      <c r="H153" s="15">
        <v>0</v>
      </c>
      <c r="I153" s="15">
        <f>E153*218%</f>
        <v>99.735000000000014</v>
      </c>
      <c r="J153" s="15">
        <f>E153*0.06%</f>
        <v>2.7449999999999999E-2</v>
      </c>
      <c r="K153" s="15">
        <v>0</v>
      </c>
      <c r="L153" s="15">
        <v>0</v>
      </c>
      <c r="M153" s="15">
        <f>E153*9%</f>
        <v>4.1174999999999997</v>
      </c>
      <c r="N153" s="15">
        <f>E153*188%</f>
        <v>86.009999999999991</v>
      </c>
      <c r="O153" s="15">
        <f>E153*22%</f>
        <v>10.065</v>
      </c>
      <c r="P153" s="15">
        <f>E153*2.7%</f>
        <v>1.2352500000000002</v>
      </c>
      <c r="Q153" s="15">
        <f>C153/1000*600</f>
        <v>36.6</v>
      </c>
    </row>
    <row r="154" spans="1:17" ht="18.75" x14ac:dyDescent="0.3">
      <c r="A154" s="51"/>
      <c r="B154" s="42" t="s">
        <v>92</v>
      </c>
      <c r="C154" s="42">
        <v>35</v>
      </c>
      <c r="D154" s="42">
        <v>0</v>
      </c>
      <c r="E154" s="42">
        <f>C154-D154</f>
        <v>35</v>
      </c>
      <c r="F154" s="42">
        <f>E154*7.9%</f>
        <v>2.7650000000000001</v>
      </c>
      <c r="G154" s="42">
        <f>E154*1%</f>
        <v>0.35000000000000003</v>
      </c>
      <c r="H154" s="42">
        <f>E154*48.1%</f>
        <v>16.835000000000001</v>
      </c>
      <c r="I154" s="42">
        <f>E154*239%</f>
        <v>83.65</v>
      </c>
      <c r="J154" s="42">
        <f>E154*0.16%</f>
        <v>5.6000000000000001E-2</v>
      </c>
      <c r="K154" s="42">
        <v>0</v>
      </c>
      <c r="L154" s="42">
        <v>0</v>
      </c>
      <c r="M154" s="42">
        <f>E154*23%</f>
        <v>8.0500000000000007</v>
      </c>
      <c r="N154" s="42">
        <f>E154*87%</f>
        <v>30.45</v>
      </c>
      <c r="O154" s="42">
        <f>E154*33%</f>
        <v>11.55</v>
      </c>
      <c r="P154" s="42">
        <f>E154*2%</f>
        <v>0.70000000000000007</v>
      </c>
      <c r="Q154" s="42">
        <f>C154/1000*27</f>
        <v>0.94500000000000006</v>
      </c>
    </row>
    <row r="155" spans="1:17" ht="18.75" x14ac:dyDescent="0.3">
      <c r="A155" s="51"/>
      <c r="B155" s="6" t="s">
        <v>18</v>
      </c>
      <c r="C155" s="15">
        <v>10</v>
      </c>
      <c r="D155" s="15">
        <v>0</v>
      </c>
      <c r="E155" s="15">
        <f>C155-D155</f>
        <v>10</v>
      </c>
      <c r="F155" s="15">
        <v>0</v>
      </c>
      <c r="G155" s="17">
        <f>E155*0.999</f>
        <v>9.99</v>
      </c>
      <c r="H155" s="15">
        <v>0</v>
      </c>
      <c r="I155" s="15">
        <f>E155*8.99</f>
        <v>89.9</v>
      </c>
      <c r="J155" s="15">
        <f>E155*0.06%</f>
        <v>5.9999999999999993E-3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15">
        <v>0</v>
      </c>
      <c r="Q155" s="15">
        <f>C155/1000*100</f>
        <v>1</v>
      </c>
    </row>
    <row r="156" spans="1:17" ht="18.75" x14ac:dyDescent="0.3">
      <c r="A156" s="51">
        <v>2</v>
      </c>
      <c r="B156" s="38" t="s">
        <v>94</v>
      </c>
      <c r="C156" s="19">
        <f>C155+C154+C153+C152</f>
        <v>121</v>
      </c>
      <c r="D156" s="19">
        <f t="shared" ref="D156:P156" si="17">SUM(D153:D155)</f>
        <v>15.25</v>
      </c>
      <c r="E156" s="19">
        <v>250</v>
      </c>
      <c r="F156" s="19">
        <f t="shared" si="17"/>
        <v>11.274500000000002</v>
      </c>
      <c r="G156" s="19">
        <f t="shared" si="17"/>
        <v>17.66</v>
      </c>
      <c r="H156" s="19">
        <f t="shared" si="17"/>
        <v>16.835000000000001</v>
      </c>
      <c r="I156" s="19">
        <f t="shared" si="17"/>
        <v>273.28500000000003</v>
      </c>
      <c r="J156" s="19">
        <f t="shared" si="17"/>
        <v>8.9450000000000002E-2</v>
      </c>
      <c r="K156" s="19">
        <f t="shared" si="17"/>
        <v>0</v>
      </c>
      <c r="L156" s="19">
        <f t="shared" si="17"/>
        <v>0</v>
      </c>
      <c r="M156" s="19">
        <f t="shared" si="17"/>
        <v>12.1675</v>
      </c>
      <c r="N156" s="19">
        <f t="shared" si="17"/>
        <v>116.46</v>
      </c>
      <c r="O156" s="19">
        <f t="shared" si="17"/>
        <v>21.615000000000002</v>
      </c>
      <c r="P156" s="19">
        <f t="shared" si="17"/>
        <v>1.9352500000000004</v>
      </c>
      <c r="Q156" s="19">
        <f>SUM(Q152:Q155)</f>
        <v>41.245000000000005</v>
      </c>
    </row>
    <row r="157" spans="1:17" ht="18.75" x14ac:dyDescent="0.3">
      <c r="A157" s="51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1:17" ht="18.75" x14ac:dyDescent="0.3">
      <c r="A158" s="51">
        <v>3</v>
      </c>
      <c r="B158" s="46" t="s">
        <v>58</v>
      </c>
      <c r="C158" s="19">
        <v>50</v>
      </c>
      <c r="D158" s="19">
        <v>0</v>
      </c>
      <c r="E158" s="19">
        <v>50</v>
      </c>
      <c r="F158" s="19">
        <f>E158*7.9%</f>
        <v>3.95</v>
      </c>
      <c r="G158" s="19">
        <f>E158*1%</f>
        <v>0.5</v>
      </c>
      <c r="H158" s="19">
        <f>E158*48.1%</f>
        <v>24.05</v>
      </c>
      <c r="I158" s="19">
        <f>E158*239%</f>
        <v>119.5</v>
      </c>
      <c r="J158" s="19">
        <f>E158*0.16%</f>
        <v>0.08</v>
      </c>
      <c r="K158" s="19">
        <v>0</v>
      </c>
      <c r="L158" s="19">
        <v>0</v>
      </c>
      <c r="M158" s="19">
        <f>E158*23%</f>
        <v>11.5</v>
      </c>
      <c r="N158" s="19">
        <f>E158*87%</f>
        <v>43.5</v>
      </c>
      <c r="O158" s="19">
        <f>E158*33%</f>
        <v>16.5</v>
      </c>
      <c r="P158" s="19">
        <f>E158*2%</f>
        <v>1</v>
      </c>
      <c r="Q158" s="19">
        <f>C158/1000*50</f>
        <v>2.5</v>
      </c>
    </row>
    <row r="159" spans="1:17" ht="18.75" x14ac:dyDescent="0.3">
      <c r="A159" s="51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1:17" ht="18.75" x14ac:dyDescent="0.3">
      <c r="A160" s="51"/>
      <c r="B160" s="15" t="s">
        <v>54</v>
      </c>
      <c r="C160" s="15">
        <v>6.0000000000000001E-3</v>
      </c>
      <c r="D160" s="15">
        <v>0</v>
      </c>
      <c r="E160" s="15">
        <f>C160-D160</f>
        <v>6.0000000000000001E-3</v>
      </c>
      <c r="F160" s="15">
        <f>E160*0%</f>
        <v>0</v>
      </c>
      <c r="G160" s="15">
        <v>0</v>
      </c>
      <c r="H160" s="15">
        <f>E160*0%</f>
        <v>0</v>
      </c>
      <c r="I160" s="15">
        <f>E160*0%</f>
        <v>0</v>
      </c>
      <c r="J160" s="15">
        <f>E160*0.1%</f>
        <v>6.0000000000000002E-6</v>
      </c>
      <c r="K160" s="15">
        <f>E160*0%</f>
        <v>0</v>
      </c>
      <c r="L160" s="15">
        <v>0</v>
      </c>
      <c r="M160" s="15">
        <f>E160*0%</f>
        <v>0</v>
      </c>
      <c r="N160" s="15">
        <f>E160*0%</f>
        <v>0</v>
      </c>
      <c r="O160" s="15">
        <f>E160*0%</f>
        <v>0</v>
      </c>
      <c r="P160" s="15">
        <f>E160*0%</f>
        <v>0</v>
      </c>
      <c r="Q160" s="15">
        <f>C160/1000*1100</f>
        <v>6.6E-3</v>
      </c>
    </row>
    <row r="161" spans="1:17" ht="18.75" x14ac:dyDescent="0.3">
      <c r="A161" s="51"/>
      <c r="B161" s="15" t="s">
        <v>71</v>
      </c>
      <c r="C161" s="15">
        <v>15</v>
      </c>
      <c r="D161" s="15">
        <v>0</v>
      </c>
      <c r="E161" s="15">
        <f>C161-D161</f>
        <v>15</v>
      </c>
      <c r="F161" s="15">
        <v>0</v>
      </c>
      <c r="G161" s="15">
        <v>0</v>
      </c>
      <c r="H161" s="15">
        <f>E161*99.8%</f>
        <v>14.97</v>
      </c>
      <c r="I161" s="15">
        <f>E161*379%</f>
        <v>56.85</v>
      </c>
      <c r="J161" s="15">
        <v>0</v>
      </c>
      <c r="K161" s="15">
        <v>0</v>
      </c>
      <c r="L161" s="15">
        <v>0</v>
      </c>
      <c r="M161" s="15">
        <f>E161*2%</f>
        <v>0.3</v>
      </c>
      <c r="N161" s="15">
        <v>0</v>
      </c>
      <c r="O161" s="15">
        <v>0</v>
      </c>
      <c r="P161" s="15">
        <f>E161*0.3%</f>
        <v>4.4999999999999998E-2</v>
      </c>
      <c r="Q161" s="15">
        <f>C161/1000*60</f>
        <v>0.89999999999999991</v>
      </c>
    </row>
    <row r="162" spans="1:17" ht="18.75" x14ac:dyDescent="0.3">
      <c r="A162" s="51">
        <v>4</v>
      </c>
      <c r="B162" s="46" t="s">
        <v>54</v>
      </c>
      <c r="C162" s="19">
        <v>15</v>
      </c>
      <c r="D162" s="19">
        <f t="shared" ref="D162:P162" si="18">SUM(D160:D161)</f>
        <v>0</v>
      </c>
      <c r="E162" s="19">
        <v>150</v>
      </c>
      <c r="F162" s="19">
        <f t="shared" si="18"/>
        <v>0</v>
      </c>
      <c r="G162" s="19">
        <f t="shared" si="18"/>
        <v>0</v>
      </c>
      <c r="H162" s="19">
        <f t="shared" si="18"/>
        <v>14.97</v>
      </c>
      <c r="I162" s="19">
        <f t="shared" si="18"/>
        <v>56.85</v>
      </c>
      <c r="J162" s="19">
        <f t="shared" si="18"/>
        <v>6.0000000000000002E-6</v>
      </c>
      <c r="K162" s="19">
        <f t="shared" si="18"/>
        <v>0</v>
      </c>
      <c r="L162" s="19">
        <f t="shared" si="18"/>
        <v>0</v>
      </c>
      <c r="M162" s="19">
        <f t="shared" si="18"/>
        <v>0.3</v>
      </c>
      <c r="N162" s="19">
        <f t="shared" si="18"/>
        <v>0</v>
      </c>
      <c r="O162" s="19">
        <f t="shared" si="18"/>
        <v>0</v>
      </c>
      <c r="P162" s="19">
        <f t="shared" si="18"/>
        <v>4.4999999999999998E-2</v>
      </c>
      <c r="Q162" s="19">
        <f>SUM(Q160:Q161)</f>
        <v>0.90659999999999996</v>
      </c>
    </row>
    <row r="163" spans="1:17" ht="18.75" x14ac:dyDescent="0.3">
      <c r="A163" s="51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1:17" ht="18.75" x14ac:dyDescent="0.3">
      <c r="A164" s="51">
        <v>5</v>
      </c>
      <c r="B164" s="46" t="s">
        <v>60</v>
      </c>
      <c r="C164" s="19">
        <v>100</v>
      </c>
      <c r="D164" s="19">
        <v>0</v>
      </c>
      <c r="E164" s="19">
        <f>C164-D164</f>
        <v>100</v>
      </c>
      <c r="F164" s="19">
        <f>E164*1.5%</f>
        <v>1.5</v>
      </c>
      <c r="G164" s="19">
        <f>E164*0.5%</f>
        <v>0.5</v>
      </c>
      <c r="H164" s="19">
        <f>E164*21%</f>
        <v>21</v>
      </c>
      <c r="I164" s="19">
        <f>E164*96%</f>
        <v>96</v>
      </c>
      <c r="J164" s="19">
        <v>0</v>
      </c>
      <c r="K164" s="19">
        <v>8.6999999999999993</v>
      </c>
      <c r="L164" s="19">
        <v>3</v>
      </c>
      <c r="M164" s="19">
        <v>5</v>
      </c>
      <c r="N164" s="19">
        <v>22</v>
      </c>
      <c r="O164" s="19">
        <v>27</v>
      </c>
      <c r="P164" s="19">
        <v>0.3</v>
      </c>
      <c r="Q164" s="19">
        <f>C164/1000*120</f>
        <v>12</v>
      </c>
    </row>
    <row r="165" spans="1:17" ht="18.75" x14ac:dyDescent="0.3">
      <c r="A165" s="55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</row>
    <row r="166" spans="1:17" ht="18.75" x14ac:dyDescent="0.3">
      <c r="A166" s="55">
        <v>6</v>
      </c>
      <c r="B166" s="46" t="s">
        <v>82</v>
      </c>
      <c r="C166" s="39">
        <v>3</v>
      </c>
      <c r="D166" s="19">
        <v>0</v>
      </c>
      <c r="E166" s="39">
        <f>C166-D166</f>
        <v>3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>
        <v>0</v>
      </c>
      <c r="P166" s="19">
        <v>0</v>
      </c>
      <c r="Q166" s="39">
        <f>C166/1000*20</f>
        <v>0.06</v>
      </c>
    </row>
    <row r="167" spans="1:17" ht="18.75" x14ac:dyDescent="0.3">
      <c r="A167" s="5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1:17" ht="23.25" x14ac:dyDescent="0.35">
      <c r="A168" s="55"/>
      <c r="B168" s="37" t="s">
        <v>73</v>
      </c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>
        <f>Q166+Q164+Q162+Q158+Q156+Q150</f>
        <v>60.961600000000004</v>
      </c>
    </row>
    <row r="169" spans="1:17" ht="23.25" x14ac:dyDescent="0.35">
      <c r="A169" s="60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</row>
    <row r="170" spans="1:17" ht="23.25" x14ac:dyDescent="0.35">
      <c r="A170" s="60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</row>
    <row r="171" spans="1:17" ht="23.25" x14ac:dyDescent="0.35">
      <c r="A171" s="60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</row>
    <row r="172" spans="1:17" ht="23.25" x14ac:dyDescent="0.35">
      <c r="A172" s="60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</row>
    <row r="173" spans="1:17" ht="23.25" x14ac:dyDescent="0.35">
      <c r="A173" s="60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</row>
    <row r="174" spans="1:17" ht="23.25" x14ac:dyDescent="0.35">
      <c r="A174" s="60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</row>
    <row r="175" spans="1:17" ht="48.75" customHeight="1" x14ac:dyDescent="0.35">
      <c r="A175" s="60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</row>
    <row r="176" spans="1:17" ht="18.75" x14ac:dyDescent="0.3">
      <c r="A176" s="55"/>
      <c r="B176" s="91" t="s">
        <v>0</v>
      </c>
      <c r="C176" s="93"/>
      <c r="D176" s="58"/>
      <c r="E176" s="58"/>
      <c r="F176" s="95" t="s">
        <v>1</v>
      </c>
      <c r="G176" s="95" t="s">
        <v>2</v>
      </c>
      <c r="H176" s="95" t="s">
        <v>3</v>
      </c>
      <c r="I176" s="95" t="s">
        <v>4</v>
      </c>
      <c r="J176" s="103" t="s">
        <v>5</v>
      </c>
      <c r="K176" s="104"/>
      <c r="L176" s="105"/>
      <c r="M176" s="103" t="s">
        <v>6</v>
      </c>
      <c r="N176" s="104"/>
      <c r="O176" s="104"/>
      <c r="P176" s="105"/>
      <c r="Q176" s="12"/>
    </row>
    <row r="177" spans="1:17" ht="27.75" customHeight="1" x14ac:dyDescent="0.3">
      <c r="A177" s="55"/>
      <c r="B177" s="92"/>
      <c r="C177" s="94"/>
      <c r="D177" s="58"/>
      <c r="E177" s="58"/>
      <c r="F177" s="96"/>
      <c r="G177" s="96"/>
      <c r="H177" s="96"/>
      <c r="I177" s="96"/>
      <c r="J177" s="59" t="s">
        <v>7</v>
      </c>
      <c r="K177" s="3" t="s">
        <v>8</v>
      </c>
      <c r="L177" s="59" t="s">
        <v>9</v>
      </c>
      <c r="M177" s="59" t="s">
        <v>10</v>
      </c>
      <c r="N177" s="59" t="s">
        <v>11</v>
      </c>
      <c r="O177" s="59" t="s">
        <v>12</v>
      </c>
      <c r="P177" s="59" t="s">
        <v>13</v>
      </c>
      <c r="Q177" s="12"/>
    </row>
    <row r="178" spans="1:17" ht="30" x14ac:dyDescent="0.3">
      <c r="A178" s="55"/>
      <c r="B178" s="7" t="s">
        <v>95</v>
      </c>
      <c r="C178" s="14" t="s">
        <v>19</v>
      </c>
      <c r="D178" s="13" t="s">
        <v>21</v>
      </c>
      <c r="E178" s="13" t="s">
        <v>20</v>
      </c>
      <c r="F178" s="8"/>
      <c r="G178" s="8"/>
      <c r="H178" s="8"/>
      <c r="I178" s="9"/>
      <c r="J178" s="10"/>
      <c r="K178" s="11"/>
      <c r="L178" s="10"/>
      <c r="M178" s="4"/>
      <c r="N178" s="4"/>
      <c r="O178" s="4"/>
      <c r="P178" s="4"/>
      <c r="Q178" s="38" t="s">
        <v>68</v>
      </c>
    </row>
    <row r="179" spans="1:17" ht="18.75" x14ac:dyDescent="0.3">
      <c r="A179" s="51"/>
      <c r="B179" s="12" t="s">
        <v>79</v>
      </c>
      <c r="C179" s="15">
        <v>150</v>
      </c>
      <c r="D179" s="15">
        <f>C179*0.25</f>
        <v>37.5</v>
      </c>
      <c r="E179" s="15">
        <f>C179-D179</f>
        <v>112.5</v>
      </c>
      <c r="F179" s="15">
        <f>E179*2%</f>
        <v>2.25</v>
      </c>
      <c r="G179" s="15">
        <f>E179*0.4%</f>
        <v>0.45</v>
      </c>
      <c r="H179" s="15">
        <f>E179*16.3%</f>
        <v>18.337500000000002</v>
      </c>
      <c r="I179" s="15">
        <f>E179*80%</f>
        <v>90</v>
      </c>
      <c r="J179" s="15">
        <f>E179*0.12%</f>
        <v>0.13499999999999998</v>
      </c>
      <c r="K179" s="15">
        <f>E179*20%</f>
        <v>22.5</v>
      </c>
      <c r="L179" s="15">
        <v>0</v>
      </c>
      <c r="M179" s="15">
        <f>E179*10%</f>
        <v>11.25</v>
      </c>
      <c r="N179" s="15">
        <f>E179*58%</f>
        <v>65.25</v>
      </c>
      <c r="O179" s="15">
        <f>E179*23%</f>
        <v>25.875</v>
      </c>
      <c r="P179" s="15">
        <f>E179*0.9%</f>
        <v>1.0125000000000002</v>
      </c>
      <c r="Q179" s="15">
        <f>C179/1000*60</f>
        <v>9</v>
      </c>
    </row>
    <row r="180" spans="1:17" ht="18.75" x14ac:dyDescent="0.3">
      <c r="A180" s="51"/>
      <c r="B180" s="12" t="s">
        <v>23</v>
      </c>
      <c r="C180" s="15">
        <v>5</v>
      </c>
      <c r="D180" s="15">
        <v>0</v>
      </c>
      <c r="E180" s="15">
        <f>C180-D180</f>
        <v>5</v>
      </c>
      <c r="F180" s="15">
        <f>E180*0.5%</f>
        <v>2.5000000000000001E-2</v>
      </c>
      <c r="G180" s="15">
        <f>E180*82.5%</f>
        <v>4.125</v>
      </c>
      <c r="H180" s="15">
        <f>E180*0.8%</f>
        <v>0.04</v>
      </c>
      <c r="I180" s="15">
        <f>E180*748%</f>
        <v>37.400000000000006</v>
      </c>
      <c r="J180" s="15">
        <v>0</v>
      </c>
      <c r="K180" s="15">
        <v>0</v>
      </c>
      <c r="L180" s="15">
        <f>E180*0.59%</f>
        <v>2.9499999999999998E-2</v>
      </c>
      <c r="M180" s="15">
        <f>E180*12%</f>
        <v>0.6</v>
      </c>
      <c r="N180" s="15">
        <f>E180*19%</f>
        <v>0.95</v>
      </c>
      <c r="O180" s="15">
        <f>E180*0.4%</f>
        <v>0.02</v>
      </c>
      <c r="P180" s="15">
        <f>E180*0.2%</f>
        <v>0.01</v>
      </c>
      <c r="Q180" s="36">
        <f>C180/1000*300</f>
        <v>1.5</v>
      </c>
    </row>
    <row r="181" spans="1:17" ht="37.5" x14ac:dyDescent="0.3">
      <c r="A181" s="51">
        <v>1</v>
      </c>
      <c r="B181" s="45" t="s">
        <v>91</v>
      </c>
      <c r="C181" s="19">
        <f t="shared" ref="C181:Q181" si="19">SUM(C179:C180)</f>
        <v>155</v>
      </c>
      <c r="D181" s="19">
        <f t="shared" si="19"/>
        <v>37.5</v>
      </c>
      <c r="E181" s="19">
        <f t="shared" si="19"/>
        <v>117.5</v>
      </c>
      <c r="F181" s="19">
        <f t="shared" si="19"/>
        <v>2.2749999999999999</v>
      </c>
      <c r="G181" s="19">
        <f t="shared" si="19"/>
        <v>4.5750000000000002</v>
      </c>
      <c r="H181" s="19">
        <f t="shared" si="19"/>
        <v>18.377500000000001</v>
      </c>
      <c r="I181" s="19">
        <f t="shared" si="19"/>
        <v>127.4</v>
      </c>
      <c r="J181" s="19">
        <f t="shared" si="19"/>
        <v>0.13499999999999998</v>
      </c>
      <c r="K181" s="19">
        <f t="shared" si="19"/>
        <v>22.5</v>
      </c>
      <c r="L181" s="19">
        <f t="shared" si="19"/>
        <v>2.9499999999999998E-2</v>
      </c>
      <c r="M181" s="19">
        <f t="shared" si="19"/>
        <v>11.85</v>
      </c>
      <c r="N181" s="19">
        <f t="shared" si="19"/>
        <v>66.2</v>
      </c>
      <c r="O181" s="19">
        <f t="shared" si="19"/>
        <v>25.895</v>
      </c>
      <c r="P181" s="19">
        <f t="shared" si="19"/>
        <v>1.0225000000000002</v>
      </c>
      <c r="Q181" s="19">
        <f t="shared" si="19"/>
        <v>10.5</v>
      </c>
    </row>
    <row r="182" spans="1:17" ht="18.75" x14ac:dyDescent="0.3">
      <c r="A182" s="51"/>
      <c r="B182" s="5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</row>
    <row r="183" spans="1:17" ht="18.75" x14ac:dyDescent="0.3">
      <c r="A183" s="51"/>
      <c r="B183" s="12" t="s">
        <v>81</v>
      </c>
      <c r="C183" s="15">
        <v>100</v>
      </c>
      <c r="D183" s="15">
        <f>C183*25%</f>
        <v>25</v>
      </c>
      <c r="E183" s="15">
        <v>75</v>
      </c>
      <c r="F183" s="15">
        <f>E183*18.2%</f>
        <v>13.65</v>
      </c>
      <c r="G183" s="15">
        <f>E183*18.4%</f>
        <v>13.799999999999999</v>
      </c>
      <c r="H183" s="15">
        <f>E183*0.7%</f>
        <v>0.52499999999999991</v>
      </c>
      <c r="I183" s="15">
        <f>E183*241%</f>
        <v>180.75</v>
      </c>
      <c r="J183" s="15">
        <f>E183*0.07%</f>
        <v>5.2500000000000005E-2</v>
      </c>
      <c r="K183" s="15">
        <v>0</v>
      </c>
      <c r="L183" s="15">
        <f>E183*0.07%</f>
        <v>5.2500000000000005E-2</v>
      </c>
      <c r="M183" s="15">
        <f>E183*16%</f>
        <v>12</v>
      </c>
      <c r="N183" s="15">
        <f>E183*165%</f>
        <v>123.75</v>
      </c>
      <c r="O183" s="15">
        <f>E183*18%</f>
        <v>13.5</v>
      </c>
      <c r="P183" s="15">
        <f>E183*1.6%</f>
        <v>1.2</v>
      </c>
      <c r="Q183" s="15">
        <f>C183/1000*240</f>
        <v>24</v>
      </c>
    </row>
    <row r="184" spans="1:17" ht="18.75" x14ac:dyDescent="0.3">
      <c r="A184" s="51">
        <v>2</v>
      </c>
      <c r="B184" s="46" t="s">
        <v>61</v>
      </c>
      <c r="C184" s="19">
        <f>SUM(C183:C183)</f>
        <v>100</v>
      </c>
      <c r="D184" s="19">
        <f>SUM(D183:D183)</f>
        <v>25</v>
      </c>
      <c r="E184" s="19">
        <f>C184-D184</f>
        <v>75</v>
      </c>
      <c r="F184" s="19">
        <f t="shared" ref="F184:Q184" si="20">SUM(F183:F183)</f>
        <v>13.65</v>
      </c>
      <c r="G184" s="19">
        <f t="shared" si="20"/>
        <v>13.799999999999999</v>
      </c>
      <c r="H184" s="19">
        <f t="shared" si="20"/>
        <v>0.52499999999999991</v>
      </c>
      <c r="I184" s="19">
        <f t="shared" si="20"/>
        <v>180.75</v>
      </c>
      <c r="J184" s="19">
        <f t="shared" si="20"/>
        <v>5.2500000000000005E-2</v>
      </c>
      <c r="K184" s="19">
        <f t="shared" si="20"/>
        <v>0</v>
      </c>
      <c r="L184" s="19">
        <f t="shared" si="20"/>
        <v>5.2500000000000005E-2</v>
      </c>
      <c r="M184" s="19">
        <f t="shared" si="20"/>
        <v>12</v>
      </c>
      <c r="N184" s="19">
        <f t="shared" si="20"/>
        <v>123.75</v>
      </c>
      <c r="O184" s="19">
        <f t="shared" si="20"/>
        <v>13.5</v>
      </c>
      <c r="P184" s="19">
        <f t="shared" si="20"/>
        <v>1.2</v>
      </c>
      <c r="Q184" s="19">
        <f t="shared" si="20"/>
        <v>24</v>
      </c>
    </row>
    <row r="185" spans="1:17" ht="18.75" x14ac:dyDescent="0.3">
      <c r="A185" s="51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</row>
    <row r="186" spans="1:17" ht="18.75" x14ac:dyDescent="0.3">
      <c r="A186" s="51"/>
      <c r="B186" s="12" t="s">
        <v>79</v>
      </c>
      <c r="C186" s="15">
        <v>27</v>
      </c>
      <c r="D186" s="15">
        <f>C186*0.25</f>
        <v>6.75</v>
      </c>
      <c r="E186" s="15">
        <f>C186-D186</f>
        <v>20.25</v>
      </c>
      <c r="F186" s="15">
        <f>E186*2%</f>
        <v>0.40500000000000003</v>
      </c>
      <c r="G186" s="15">
        <f>E186*0.4%</f>
        <v>8.1000000000000003E-2</v>
      </c>
      <c r="H186" s="15">
        <f>E186*16.3%</f>
        <v>3.3007500000000003</v>
      </c>
      <c r="I186" s="15">
        <f>E186*80%</f>
        <v>16.2</v>
      </c>
      <c r="J186" s="15">
        <f>E186*0.12%</f>
        <v>2.4299999999999999E-2</v>
      </c>
      <c r="K186" s="15">
        <f>E186*20%</f>
        <v>4.05</v>
      </c>
      <c r="L186" s="15">
        <v>0</v>
      </c>
      <c r="M186" s="15">
        <f>E186*10%</f>
        <v>2.0249999999999999</v>
      </c>
      <c r="N186" s="15">
        <f>E186*58%</f>
        <v>11.744999999999999</v>
      </c>
      <c r="O186" s="15">
        <f>E186*23%</f>
        <v>4.6575000000000006</v>
      </c>
      <c r="P186" s="15">
        <f>E186*0.9%</f>
        <v>0.18225000000000002</v>
      </c>
      <c r="Q186" s="15">
        <f>C186/1000*60</f>
        <v>1.6199999999999999</v>
      </c>
    </row>
    <row r="187" spans="1:17" ht="18.75" x14ac:dyDescent="0.3">
      <c r="A187" s="51"/>
      <c r="B187" s="12" t="s">
        <v>16</v>
      </c>
      <c r="C187" s="15">
        <v>27</v>
      </c>
      <c r="D187" s="15">
        <f>C187*0.2</f>
        <v>5.4</v>
      </c>
      <c r="E187" s="15">
        <f>C187-D187</f>
        <v>21.6</v>
      </c>
      <c r="F187" s="15">
        <f>E187*1.3%</f>
        <v>0.28080000000000005</v>
      </c>
      <c r="G187" s="17">
        <f>E187*0.001</f>
        <v>2.1600000000000001E-2</v>
      </c>
      <c r="H187" s="15">
        <f>E187*0.072</f>
        <v>1.5551999999999999</v>
      </c>
      <c r="I187" s="15">
        <f>E187*0.3</f>
        <v>6.48</v>
      </c>
      <c r="J187" s="15">
        <f>E187*0.06%</f>
        <v>1.2959999999999999E-2</v>
      </c>
      <c r="K187" s="15">
        <f>E187*5%</f>
        <v>1.08</v>
      </c>
      <c r="L187" s="15">
        <v>0</v>
      </c>
      <c r="M187" s="15">
        <f>E187*51%</f>
        <v>11.016000000000002</v>
      </c>
      <c r="N187" s="15">
        <f>E187*55%</f>
        <v>11.880000000000003</v>
      </c>
      <c r="O187" s="15">
        <f>E187*38%</f>
        <v>8.2080000000000002</v>
      </c>
      <c r="P187" s="15">
        <f>E187*0.7%</f>
        <v>0.1512</v>
      </c>
      <c r="Q187" s="12">
        <f>C187/1000*60</f>
        <v>1.6199999999999999</v>
      </c>
    </row>
    <row r="188" spans="1:17" ht="18.75" x14ac:dyDescent="0.3">
      <c r="A188" s="51"/>
      <c r="B188" s="6" t="s">
        <v>76</v>
      </c>
      <c r="C188" s="15">
        <v>27</v>
      </c>
      <c r="D188" s="15">
        <f>C188*0.2</f>
        <v>5.4</v>
      </c>
      <c r="E188" s="15">
        <f>C188-D188</f>
        <v>21.6</v>
      </c>
      <c r="F188" s="15">
        <f>E188*0.015</f>
        <v>0.32400000000000001</v>
      </c>
      <c r="G188" s="15">
        <f>E188*0.001</f>
        <v>2.1600000000000001E-2</v>
      </c>
      <c r="H188" s="15">
        <f>E188*0.091</f>
        <v>1.9656</v>
      </c>
      <c r="I188" s="15">
        <f>E188*0.42</f>
        <v>9.072000000000001</v>
      </c>
      <c r="J188" s="15">
        <f>E188*0.02%</f>
        <v>4.3200000000000009E-3</v>
      </c>
      <c r="K188" s="15">
        <f>E188*10%</f>
        <v>2.16</v>
      </c>
      <c r="L188" s="15">
        <v>0</v>
      </c>
      <c r="M188" s="15">
        <f>E188*37%</f>
        <v>7.992</v>
      </c>
      <c r="N188" s="15">
        <f>E188*43%</f>
        <v>9.2880000000000003</v>
      </c>
      <c r="O188" s="15">
        <f>E188*22%</f>
        <v>4.7520000000000007</v>
      </c>
      <c r="P188" s="15">
        <f>E188*1.4%</f>
        <v>0.3024</v>
      </c>
      <c r="Q188" s="15">
        <f>C188/1000*60</f>
        <v>1.6199999999999999</v>
      </c>
    </row>
    <row r="189" spans="1:17" ht="18.75" x14ac:dyDescent="0.3">
      <c r="A189" s="51"/>
      <c r="B189" s="6" t="s">
        <v>18</v>
      </c>
      <c r="C189" s="15">
        <v>5</v>
      </c>
      <c r="D189" s="15">
        <v>0</v>
      </c>
      <c r="E189" s="15">
        <f>C189-D189</f>
        <v>5</v>
      </c>
      <c r="F189" s="15">
        <v>0</v>
      </c>
      <c r="G189" s="17">
        <f>E189*0.999</f>
        <v>4.9950000000000001</v>
      </c>
      <c r="H189" s="15">
        <v>0</v>
      </c>
      <c r="I189" s="15">
        <f>E189*8.99</f>
        <v>44.95</v>
      </c>
      <c r="J189" s="15">
        <f>E189*0.06%</f>
        <v>2.9999999999999996E-3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5">
        <v>0</v>
      </c>
      <c r="Q189" s="15">
        <f>C189/1000*100</f>
        <v>0.5</v>
      </c>
    </row>
    <row r="190" spans="1:17" ht="18.75" x14ac:dyDescent="0.3">
      <c r="A190" s="51">
        <v>3</v>
      </c>
      <c r="B190" s="45" t="s">
        <v>117</v>
      </c>
      <c r="C190" s="19">
        <f t="shared" ref="C190:Q190" si="21">SUM(C186:C189)</f>
        <v>86</v>
      </c>
      <c r="D190" s="19">
        <f t="shared" si="21"/>
        <v>17.55</v>
      </c>
      <c r="E190" s="19">
        <f t="shared" si="21"/>
        <v>68.45</v>
      </c>
      <c r="F190" s="19">
        <f t="shared" si="21"/>
        <v>1.0098</v>
      </c>
      <c r="G190" s="19">
        <f t="shared" si="21"/>
        <v>5.1192000000000002</v>
      </c>
      <c r="H190" s="19">
        <f t="shared" si="21"/>
        <v>6.8215500000000002</v>
      </c>
      <c r="I190" s="19">
        <f t="shared" si="21"/>
        <v>76.701999999999998</v>
      </c>
      <c r="J190" s="19">
        <f t="shared" si="21"/>
        <v>4.4580000000000009E-2</v>
      </c>
      <c r="K190" s="19">
        <f t="shared" si="21"/>
        <v>7.29</v>
      </c>
      <c r="L190" s="19">
        <f t="shared" si="21"/>
        <v>0</v>
      </c>
      <c r="M190" s="19">
        <f t="shared" si="21"/>
        <v>21.033000000000001</v>
      </c>
      <c r="N190" s="19">
        <f t="shared" si="21"/>
        <v>32.912999999999997</v>
      </c>
      <c r="O190" s="19">
        <f t="shared" si="21"/>
        <v>17.6175</v>
      </c>
      <c r="P190" s="19">
        <f t="shared" si="21"/>
        <v>0.63585000000000003</v>
      </c>
      <c r="Q190" s="19">
        <f t="shared" si="21"/>
        <v>5.3599999999999994</v>
      </c>
    </row>
    <row r="191" spans="1:17" ht="18.75" x14ac:dyDescent="0.3">
      <c r="A191" s="51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</row>
    <row r="192" spans="1:17" ht="18.75" x14ac:dyDescent="0.3">
      <c r="A192" s="51">
        <v>4</v>
      </c>
      <c r="B192" s="46" t="s">
        <v>58</v>
      </c>
      <c r="C192" s="19">
        <v>30</v>
      </c>
      <c r="D192" s="19">
        <v>0</v>
      </c>
      <c r="E192" s="19">
        <v>30</v>
      </c>
      <c r="F192" s="19">
        <f>E192*7.9%</f>
        <v>2.37</v>
      </c>
      <c r="G192" s="19">
        <f>E192*1%</f>
        <v>0.3</v>
      </c>
      <c r="H192" s="19">
        <f>E192*48.1%</f>
        <v>14.430000000000001</v>
      </c>
      <c r="I192" s="19">
        <f>E192*239%</f>
        <v>71.7</v>
      </c>
      <c r="J192" s="19">
        <f>E192*0.16%</f>
        <v>4.8000000000000001E-2</v>
      </c>
      <c r="K192" s="19">
        <v>0</v>
      </c>
      <c r="L192" s="19">
        <v>0</v>
      </c>
      <c r="M192" s="19">
        <f>E192*23%</f>
        <v>6.9</v>
      </c>
      <c r="N192" s="19">
        <f>E192*87%</f>
        <v>26.1</v>
      </c>
      <c r="O192" s="19">
        <f>E192*33%</f>
        <v>9.9</v>
      </c>
      <c r="P192" s="19">
        <f>E192*2%</f>
        <v>0.6</v>
      </c>
      <c r="Q192" s="19">
        <f>C192/1000*50</f>
        <v>1.5</v>
      </c>
    </row>
    <row r="193" spans="1:17" ht="18.75" x14ac:dyDescent="0.3">
      <c r="A193" s="51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</row>
    <row r="194" spans="1:17" ht="18.75" x14ac:dyDescent="0.3">
      <c r="A194" s="51"/>
      <c r="B194" s="15" t="s">
        <v>70</v>
      </c>
      <c r="C194" s="15">
        <v>15</v>
      </c>
      <c r="D194" s="15">
        <v>0</v>
      </c>
      <c r="E194" s="15">
        <v>15</v>
      </c>
      <c r="F194" s="15">
        <f>E194*5.2%</f>
        <v>0.78</v>
      </c>
      <c r="G194" s="15">
        <v>0</v>
      </c>
      <c r="H194" s="15">
        <f>E194*55%</f>
        <v>8.25</v>
      </c>
      <c r="I194" s="15">
        <f>E194*234%</f>
        <v>35.099999999999994</v>
      </c>
      <c r="J194" s="15">
        <f>E194*0.1%</f>
        <v>1.4999999999999999E-2</v>
      </c>
      <c r="K194" s="15">
        <f>E194*4%</f>
        <v>0.6</v>
      </c>
      <c r="L194" s="15">
        <v>0</v>
      </c>
      <c r="M194" s="15">
        <f>E194*160%</f>
        <v>24</v>
      </c>
      <c r="N194" s="15">
        <f>E194*146%</f>
        <v>21.9</v>
      </c>
      <c r="O194" s="15">
        <f>E194*105%</f>
        <v>15.75</v>
      </c>
      <c r="P194" s="15">
        <f>E194*3.2%</f>
        <v>0.48</v>
      </c>
      <c r="Q194" s="15">
        <f>C194/1000*600</f>
        <v>9</v>
      </c>
    </row>
    <row r="195" spans="1:17" ht="18.75" x14ac:dyDescent="0.3">
      <c r="A195" s="51"/>
      <c r="B195" s="15" t="s">
        <v>71</v>
      </c>
      <c r="C195" s="15">
        <v>10</v>
      </c>
      <c r="D195" s="15">
        <v>0</v>
      </c>
      <c r="E195" s="15">
        <v>10</v>
      </c>
      <c r="F195" s="15">
        <v>0</v>
      </c>
      <c r="G195" s="15">
        <v>0</v>
      </c>
      <c r="H195" s="15">
        <f>E195*99.8%</f>
        <v>9.98</v>
      </c>
      <c r="I195" s="15">
        <f>E195*379%</f>
        <v>37.9</v>
      </c>
      <c r="J195" s="15">
        <v>0</v>
      </c>
      <c r="K195" s="15">
        <v>0</v>
      </c>
      <c r="L195" s="15">
        <v>0</v>
      </c>
      <c r="M195" s="15">
        <f>E195*2%</f>
        <v>0.2</v>
      </c>
      <c r="N195" s="15">
        <v>0</v>
      </c>
      <c r="O195" s="15">
        <v>0</v>
      </c>
      <c r="P195" s="15">
        <f>E195*0.3%</f>
        <v>0.03</v>
      </c>
      <c r="Q195" s="15">
        <f>C195/1000*60</f>
        <v>0.6</v>
      </c>
    </row>
    <row r="196" spans="1:17" ht="18.75" x14ac:dyDescent="0.3">
      <c r="A196" s="51">
        <v>5</v>
      </c>
      <c r="B196" s="46" t="s">
        <v>69</v>
      </c>
      <c r="C196" s="19">
        <v>25</v>
      </c>
      <c r="D196" s="19">
        <f t="shared" ref="D196:P196" si="22">SUM(D194:D195)</f>
        <v>0</v>
      </c>
      <c r="E196" s="19">
        <v>150</v>
      </c>
      <c r="F196" s="19">
        <f t="shared" si="22"/>
        <v>0.78</v>
      </c>
      <c r="G196" s="19">
        <f t="shared" si="22"/>
        <v>0</v>
      </c>
      <c r="H196" s="19">
        <f t="shared" si="22"/>
        <v>18.23</v>
      </c>
      <c r="I196" s="19">
        <f t="shared" si="22"/>
        <v>73</v>
      </c>
      <c r="J196" s="19">
        <f t="shared" si="22"/>
        <v>1.4999999999999999E-2</v>
      </c>
      <c r="K196" s="19">
        <f t="shared" si="22"/>
        <v>0.6</v>
      </c>
      <c r="L196" s="19">
        <f t="shared" si="22"/>
        <v>0</v>
      </c>
      <c r="M196" s="19">
        <f t="shared" si="22"/>
        <v>24.2</v>
      </c>
      <c r="N196" s="19">
        <f t="shared" si="22"/>
        <v>21.9</v>
      </c>
      <c r="O196" s="19">
        <f t="shared" si="22"/>
        <v>15.75</v>
      </c>
      <c r="P196" s="19">
        <f t="shared" si="22"/>
        <v>0.51</v>
      </c>
      <c r="Q196" s="19">
        <f>SUM(Q194:Q195)</f>
        <v>9.6</v>
      </c>
    </row>
    <row r="197" spans="1:17" ht="18.75" x14ac:dyDescent="0.3">
      <c r="A197" s="51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</row>
    <row r="198" spans="1:17" ht="18.75" x14ac:dyDescent="0.3">
      <c r="A198" s="51">
        <v>6</v>
      </c>
      <c r="B198" s="46" t="s">
        <v>72</v>
      </c>
      <c r="C198" s="19">
        <v>100</v>
      </c>
      <c r="D198" s="19">
        <v>0</v>
      </c>
      <c r="E198" s="19">
        <v>80</v>
      </c>
      <c r="F198" s="19">
        <f>E198*0.4%</f>
        <v>0.32</v>
      </c>
      <c r="G198" s="19">
        <f>E198*0.4%</f>
        <v>0.32</v>
      </c>
      <c r="H198" s="19">
        <f>E198*9.8%</f>
        <v>7.84</v>
      </c>
      <c r="I198" s="19">
        <f>E198*45%</f>
        <v>36</v>
      </c>
      <c r="J198" s="19">
        <f>E198*0.03%</f>
        <v>2.3999999999999997E-2</v>
      </c>
      <c r="K198" s="19">
        <f>E198*13%</f>
        <v>10.4</v>
      </c>
      <c r="L198" s="19">
        <v>0</v>
      </c>
      <c r="M198" s="19">
        <f>E198*16%</f>
        <v>12.8</v>
      </c>
      <c r="N198" s="19">
        <f>E198*11%</f>
        <v>8.8000000000000007</v>
      </c>
      <c r="O198" s="19">
        <f>E198*9%</f>
        <v>7.1999999999999993</v>
      </c>
      <c r="P198" s="19">
        <f>E198*2.2%</f>
        <v>1.7600000000000002</v>
      </c>
      <c r="Q198" s="19">
        <f>C198/1000*100</f>
        <v>10</v>
      </c>
    </row>
    <row r="199" spans="1:17" ht="18.75" x14ac:dyDescent="0.3">
      <c r="A199" s="51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</row>
    <row r="200" spans="1:17" ht="18.75" x14ac:dyDescent="0.3">
      <c r="A200" s="51">
        <v>7</v>
      </c>
      <c r="B200" s="46" t="s">
        <v>82</v>
      </c>
      <c r="C200" s="39">
        <v>3</v>
      </c>
      <c r="D200" s="19">
        <v>0</v>
      </c>
      <c r="E200" s="39">
        <f>C200-D200</f>
        <v>3</v>
      </c>
      <c r="F200" s="19">
        <v>0</v>
      </c>
      <c r="G200" s="19">
        <v>0</v>
      </c>
      <c r="H200" s="19">
        <v>0</v>
      </c>
      <c r="I200" s="19">
        <v>0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9">
        <v>0</v>
      </c>
      <c r="P200" s="19">
        <v>0</v>
      </c>
      <c r="Q200" s="39">
        <f>C200/1000*20</f>
        <v>0.06</v>
      </c>
    </row>
    <row r="201" spans="1:17" ht="18.75" x14ac:dyDescent="0.3">
      <c r="A201" s="5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</row>
    <row r="202" spans="1:17" ht="23.25" x14ac:dyDescent="0.35">
      <c r="A202" s="55"/>
      <c r="B202" s="37" t="s">
        <v>73</v>
      </c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>
        <f>Q200+Q198+Q196+Q192+Q190+Q184+Q181</f>
        <v>61.019999999999996</v>
      </c>
    </row>
    <row r="203" spans="1:17" ht="18.75" x14ac:dyDescent="0.3">
      <c r="A203" s="56"/>
    </row>
    <row r="204" spans="1:17" ht="18.75" x14ac:dyDescent="0.3">
      <c r="A204" s="56"/>
    </row>
    <row r="205" spans="1:17" ht="18.75" x14ac:dyDescent="0.3">
      <c r="A205" s="56"/>
    </row>
    <row r="206" spans="1:17" ht="18.75" x14ac:dyDescent="0.3">
      <c r="A206" s="56"/>
    </row>
    <row r="207" spans="1:17" ht="147.75" customHeight="1" x14ac:dyDescent="0.3">
      <c r="A207" s="56"/>
    </row>
    <row r="208" spans="1:17" ht="18.75" x14ac:dyDescent="0.3">
      <c r="A208" s="55"/>
      <c r="B208" s="87" t="s">
        <v>0</v>
      </c>
      <c r="C208" s="88"/>
      <c r="D208" s="1"/>
      <c r="E208" s="1"/>
      <c r="F208" s="89" t="s">
        <v>1</v>
      </c>
      <c r="G208" s="89" t="s">
        <v>2</v>
      </c>
      <c r="H208" s="89" t="s">
        <v>3</v>
      </c>
      <c r="I208" s="89" t="s">
        <v>4</v>
      </c>
      <c r="J208" s="89" t="s">
        <v>5</v>
      </c>
      <c r="K208" s="89"/>
      <c r="L208" s="89"/>
      <c r="M208" s="89" t="s">
        <v>6</v>
      </c>
      <c r="N208" s="89"/>
      <c r="O208" s="89"/>
      <c r="P208" s="89"/>
      <c r="Q208" s="12"/>
    </row>
    <row r="209" spans="1:17" ht="38.25" customHeight="1" x14ac:dyDescent="0.3">
      <c r="A209" s="55"/>
      <c r="B209" s="87"/>
      <c r="C209" s="88"/>
      <c r="D209" s="1"/>
      <c r="E209" s="1"/>
      <c r="F209" s="89"/>
      <c r="G209" s="89"/>
      <c r="H209" s="89"/>
      <c r="I209" s="89"/>
      <c r="J209" s="2" t="s">
        <v>7</v>
      </c>
      <c r="K209" s="3" t="s">
        <v>8</v>
      </c>
      <c r="L209" s="2" t="s">
        <v>9</v>
      </c>
      <c r="M209" s="2" t="s">
        <v>10</v>
      </c>
      <c r="N209" s="2" t="s">
        <v>11</v>
      </c>
      <c r="O209" s="2" t="s">
        <v>12</v>
      </c>
      <c r="P209" s="2" t="s">
        <v>13</v>
      </c>
      <c r="Q209" s="12"/>
    </row>
    <row r="210" spans="1:17" ht="30" x14ac:dyDescent="0.3">
      <c r="A210" s="55"/>
      <c r="B210" s="7" t="s">
        <v>96</v>
      </c>
      <c r="C210" s="14" t="s">
        <v>19</v>
      </c>
      <c r="D210" s="13" t="s">
        <v>21</v>
      </c>
      <c r="E210" s="13" t="s">
        <v>20</v>
      </c>
      <c r="F210" s="8"/>
      <c r="G210" s="8"/>
      <c r="H210" s="8"/>
      <c r="I210" s="9"/>
      <c r="J210" s="10"/>
      <c r="K210" s="11"/>
      <c r="L210" s="10"/>
      <c r="M210" s="4"/>
      <c r="N210" s="4"/>
      <c r="O210" s="4"/>
      <c r="P210" s="4"/>
      <c r="Q210" s="38" t="s">
        <v>68</v>
      </c>
    </row>
    <row r="211" spans="1:17" ht="18.75" x14ac:dyDescent="0.3">
      <c r="A211" s="51"/>
      <c r="B211" s="6" t="s">
        <v>77</v>
      </c>
      <c r="C211" s="15">
        <v>8</v>
      </c>
      <c r="D211" s="15">
        <v>0</v>
      </c>
      <c r="E211" s="15">
        <f>C211-D211</f>
        <v>8</v>
      </c>
      <c r="F211" s="15">
        <f>E211*3.1%</f>
        <v>0.248</v>
      </c>
      <c r="G211" s="15">
        <f>E211*0.2%</f>
        <v>1.6E-2</v>
      </c>
      <c r="H211" s="15">
        <f>E211*6.5%</f>
        <v>0.52</v>
      </c>
      <c r="I211" s="15">
        <f>E211*40%</f>
        <v>3.2</v>
      </c>
      <c r="J211" s="15">
        <f>E211*0.11%</f>
        <v>8.8000000000000005E-3</v>
      </c>
      <c r="K211" s="15">
        <f>E211*10%</f>
        <v>0.8</v>
      </c>
      <c r="L211" s="15">
        <v>0</v>
      </c>
      <c r="M211" s="15">
        <f>E211*20%</f>
        <v>1.6</v>
      </c>
      <c r="N211" s="15">
        <f>E211*62%</f>
        <v>4.96</v>
      </c>
      <c r="O211" s="15">
        <f>E211*21%</f>
        <v>1.68</v>
      </c>
      <c r="P211" s="15">
        <f>E211*0.7%</f>
        <v>5.5999999999999994E-2</v>
      </c>
      <c r="Q211" s="15">
        <f>C211/1000*270</f>
        <v>2.16</v>
      </c>
    </row>
    <row r="212" spans="1:17" ht="18.75" x14ac:dyDescent="0.3">
      <c r="A212" s="51"/>
      <c r="B212" s="6" t="s">
        <v>16</v>
      </c>
      <c r="C212" s="15">
        <v>50</v>
      </c>
      <c r="D212" s="15">
        <f>C212*0.2</f>
        <v>10</v>
      </c>
      <c r="E212" s="15">
        <f>C212-D212</f>
        <v>40</v>
      </c>
      <c r="F212" s="15">
        <f>E212*1.3%</f>
        <v>0.52</v>
      </c>
      <c r="G212" s="17">
        <f>E212*0.001</f>
        <v>0.04</v>
      </c>
      <c r="H212" s="15">
        <f>E212*0.072</f>
        <v>2.88</v>
      </c>
      <c r="I212" s="15">
        <f>E212*0.3</f>
        <v>12</v>
      </c>
      <c r="J212" s="15">
        <f>E212*0.06%</f>
        <v>2.3999999999999997E-2</v>
      </c>
      <c r="K212" s="15">
        <f>E212*5%</f>
        <v>2</v>
      </c>
      <c r="L212" s="15">
        <v>0</v>
      </c>
      <c r="M212" s="15">
        <f>E212*51%</f>
        <v>20.399999999999999</v>
      </c>
      <c r="N212" s="15">
        <f>E212*55%</f>
        <v>22</v>
      </c>
      <c r="O212" s="15">
        <f>E212*38%</f>
        <v>15.2</v>
      </c>
      <c r="P212" s="15">
        <f>E212*0.7%</f>
        <v>0.27999999999999997</v>
      </c>
      <c r="Q212" s="12">
        <f>C212/1000*60</f>
        <v>3</v>
      </c>
    </row>
    <row r="213" spans="1:17" ht="18.75" x14ac:dyDescent="0.3">
      <c r="A213" s="51"/>
      <c r="B213" s="6" t="s">
        <v>17</v>
      </c>
      <c r="C213" s="15">
        <v>60</v>
      </c>
      <c r="D213" s="15">
        <f>C213*0.2</f>
        <v>12</v>
      </c>
      <c r="E213" s="15">
        <f>C213-D213</f>
        <v>48</v>
      </c>
      <c r="F213" s="15">
        <f>E213*0.018</f>
        <v>0.86399999999999988</v>
      </c>
      <c r="G213" s="17">
        <f>E213*0.001</f>
        <v>4.8000000000000001E-2</v>
      </c>
      <c r="H213" s="15">
        <f>E213*0.047</f>
        <v>2.2560000000000002</v>
      </c>
      <c r="I213" s="15">
        <f>E213*0.27</f>
        <v>12.96</v>
      </c>
      <c r="J213" s="15">
        <f>E213*0.03%</f>
        <v>1.44E-2</v>
      </c>
      <c r="K213" s="15">
        <f>E213*45%</f>
        <v>21.6</v>
      </c>
      <c r="L213" s="15">
        <v>0</v>
      </c>
      <c r="M213" s="15">
        <f>E213*48%</f>
        <v>23.04</v>
      </c>
      <c r="N213" s="15">
        <f>E213*31%</f>
        <v>14.879999999999999</v>
      </c>
      <c r="O213" s="15">
        <f>E213*16%</f>
        <v>7.68</v>
      </c>
      <c r="P213" s="15">
        <f>E213*0.6%</f>
        <v>0.28800000000000003</v>
      </c>
      <c r="Q213" s="12">
        <f>C213/1000*30</f>
        <v>1.7999999999999998</v>
      </c>
    </row>
    <row r="214" spans="1:17" ht="18.75" x14ac:dyDescent="0.3">
      <c r="A214" s="51"/>
      <c r="B214" s="6" t="s">
        <v>18</v>
      </c>
      <c r="C214" s="15">
        <v>5</v>
      </c>
      <c r="D214" s="15">
        <v>0</v>
      </c>
      <c r="E214" s="15">
        <v>5</v>
      </c>
      <c r="F214" s="15">
        <v>0</v>
      </c>
      <c r="G214" s="17">
        <f>E214*99.9%</f>
        <v>4.995000000000001</v>
      </c>
      <c r="H214" s="15">
        <v>0</v>
      </c>
      <c r="I214" s="15">
        <f>E214*8.99%</f>
        <v>0.44950000000000001</v>
      </c>
      <c r="J214" s="15">
        <f>E214*0.06%</f>
        <v>2.9999999999999996E-3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15">
        <v>0</v>
      </c>
      <c r="Q214" s="12">
        <f>C214/1000*100</f>
        <v>0.5</v>
      </c>
    </row>
    <row r="215" spans="1:17" ht="18.75" x14ac:dyDescent="0.3">
      <c r="A215" s="51">
        <v>1</v>
      </c>
      <c r="B215" s="45" t="s">
        <v>15</v>
      </c>
      <c r="C215" s="16">
        <f>SUM(C212:C214)</f>
        <v>115</v>
      </c>
      <c r="D215" s="16">
        <f t="shared" ref="D215:P215" si="23">SUM(D212:D214)</f>
        <v>22</v>
      </c>
      <c r="E215" s="16">
        <f t="shared" si="23"/>
        <v>93</v>
      </c>
      <c r="F215" s="16">
        <f t="shared" si="23"/>
        <v>1.3839999999999999</v>
      </c>
      <c r="G215" s="16">
        <f t="shared" si="23"/>
        <v>5.0830000000000011</v>
      </c>
      <c r="H215" s="16">
        <f t="shared" si="23"/>
        <v>5.1360000000000001</v>
      </c>
      <c r="I215" s="16">
        <f t="shared" si="23"/>
        <v>25.409500000000001</v>
      </c>
      <c r="J215" s="16">
        <f t="shared" si="23"/>
        <v>4.1399999999999999E-2</v>
      </c>
      <c r="K215" s="16">
        <f t="shared" si="23"/>
        <v>23.6</v>
      </c>
      <c r="L215" s="16">
        <f t="shared" si="23"/>
        <v>0</v>
      </c>
      <c r="M215" s="16">
        <f t="shared" si="23"/>
        <v>43.44</v>
      </c>
      <c r="N215" s="16">
        <f t="shared" si="23"/>
        <v>36.879999999999995</v>
      </c>
      <c r="O215" s="16">
        <f t="shared" si="23"/>
        <v>22.88</v>
      </c>
      <c r="P215" s="16">
        <f t="shared" si="23"/>
        <v>0.56800000000000006</v>
      </c>
      <c r="Q215" s="16">
        <f>SUM(Q211:Q214)</f>
        <v>7.46</v>
      </c>
    </row>
    <row r="216" spans="1:17" ht="18.75" x14ac:dyDescent="0.3">
      <c r="A216" s="51"/>
      <c r="B216" s="12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</row>
    <row r="217" spans="1:17" ht="18.75" x14ac:dyDescent="0.3">
      <c r="A217" s="51"/>
      <c r="B217" s="12" t="s">
        <v>87</v>
      </c>
      <c r="C217" s="15">
        <v>55</v>
      </c>
      <c r="D217" s="15">
        <v>0</v>
      </c>
      <c r="E217" s="15">
        <f>C217-D217</f>
        <v>55</v>
      </c>
      <c r="F217" s="15">
        <f>E217*12.6%</f>
        <v>6.93</v>
      </c>
      <c r="G217" s="15">
        <f>E217*3.3%</f>
        <v>1.8150000000000002</v>
      </c>
      <c r="H217" s="15">
        <f>E217*62.1%</f>
        <v>34.155000000000001</v>
      </c>
      <c r="I217" s="15">
        <f>E217*335%</f>
        <v>184.25</v>
      </c>
      <c r="J217" s="15">
        <f>E217*0.43%</f>
        <v>0.23649999999999999</v>
      </c>
      <c r="K217" s="15">
        <v>0</v>
      </c>
      <c r="L217" s="15">
        <v>0</v>
      </c>
      <c r="M217" s="15">
        <f>E217*20%</f>
        <v>11</v>
      </c>
      <c r="N217" s="15">
        <f>E217*298%</f>
        <v>163.9</v>
      </c>
      <c r="O217" s="15">
        <f>E217*200%</f>
        <v>110</v>
      </c>
      <c r="P217" s="15">
        <f>E217*6.7%</f>
        <v>3.6850000000000001</v>
      </c>
      <c r="Q217" s="36">
        <f>C217/1000*55</f>
        <v>3.0249999999999999</v>
      </c>
    </row>
    <row r="218" spans="1:17" ht="18.75" x14ac:dyDescent="0.3">
      <c r="A218" s="51"/>
      <c r="B218" s="12" t="s">
        <v>23</v>
      </c>
      <c r="C218" s="15">
        <v>7</v>
      </c>
      <c r="D218" s="15">
        <v>0</v>
      </c>
      <c r="E218" s="15">
        <f>C218-D218</f>
        <v>7</v>
      </c>
      <c r="F218" s="15">
        <f>E218*0.5%</f>
        <v>3.5000000000000003E-2</v>
      </c>
      <c r="G218" s="15">
        <f>E218*82.5%</f>
        <v>5.7749999999999995</v>
      </c>
      <c r="H218" s="15">
        <f>E218*0.8%</f>
        <v>5.6000000000000001E-2</v>
      </c>
      <c r="I218" s="15">
        <f>E218*748%</f>
        <v>52.36</v>
      </c>
      <c r="J218" s="15">
        <v>0</v>
      </c>
      <c r="K218" s="15">
        <v>0</v>
      </c>
      <c r="L218" s="15">
        <f>E218*0.59%</f>
        <v>4.1299999999999996E-2</v>
      </c>
      <c r="M218" s="15">
        <f>E218*12%</f>
        <v>0.84</v>
      </c>
      <c r="N218" s="15">
        <f>E218*19%</f>
        <v>1.33</v>
      </c>
      <c r="O218" s="15">
        <f>E218*0.4%</f>
        <v>2.8000000000000001E-2</v>
      </c>
      <c r="P218" s="15">
        <f>E218*0.2%</f>
        <v>1.4E-2</v>
      </c>
      <c r="Q218" s="36">
        <f>C218/1000*300</f>
        <v>2.1</v>
      </c>
    </row>
    <row r="219" spans="1:17" ht="18.75" x14ac:dyDescent="0.3">
      <c r="A219" s="51">
        <v>2</v>
      </c>
      <c r="B219" s="38" t="s">
        <v>86</v>
      </c>
      <c r="C219" s="19">
        <v>65</v>
      </c>
      <c r="D219" s="19">
        <f t="shared" ref="D219:Q219" si="24">SUM(D217:D218)</f>
        <v>0</v>
      </c>
      <c r="E219" s="19">
        <f t="shared" si="24"/>
        <v>62</v>
      </c>
      <c r="F219" s="19">
        <f t="shared" si="24"/>
        <v>6.9649999999999999</v>
      </c>
      <c r="G219" s="19">
        <f t="shared" si="24"/>
        <v>7.59</v>
      </c>
      <c r="H219" s="19">
        <f t="shared" si="24"/>
        <v>34.210999999999999</v>
      </c>
      <c r="I219" s="19">
        <f t="shared" si="24"/>
        <v>236.61</v>
      </c>
      <c r="J219" s="19">
        <f t="shared" si="24"/>
        <v>0.23649999999999999</v>
      </c>
      <c r="K219" s="19">
        <f t="shared" si="24"/>
        <v>0</v>
      </c>
      <c r="L219" s="19">
        <f t="shared" si="24"/>
        <v>4.1299999999999996E-2</v>
      </c>
      <c r="M219" s="19">
        <f t="shared" si="24"/>
        <v>11.84</v>
      </c>
      <c r="N219" s="19">
        <f t="shared" si="24"/>
        <v>165.23000000000002</v>
      </c>
      <c r="O219" s="19">
        <f t="shared" si="24"/>
        <v>110.02800000000001</v>
      </c>
      <c r="P219" s="19">
        <f t="shared" si="24"/>
        <v>3.6989999999999998</v>
      </c>
      <c r="Q219" s="19">
        <f t="shared" si="24"/>
        <v>5.125</v>
      </c>
    </row>
    <row r="220" spans="1:17" ht="18.75" x14ac:dyDescent="0.3">
      <c r="A220" s="51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</row>
    <row r="221" spans="1:17" ht="18.75" x14ac:dyDescent="0.3">
      <c r="A221" s="51"/>
      <c r="B221" s="12" t="s">
        <v>81</v>
      </c>
      <c r="C221" s="15">
        <v>100</v>
      </c>
      <c r="D221" s="15">
        <f>C221*25%</f>
        <v>25</v>
      </c>
      <c r="E221" s="15">
        <v>75</v>
      </c>
      <c r="F221" s="15">
        <f>E221*18.2%</f>
        <v>13.65</v>
      </c>
      <c r="G221" s="15">
        <f>E221*18.4%</f>
        <v>13.799999999999999</v>
      </c>
      <c r="H221" s="15">
        <f>E221*0.7%</f>
        <v>0.52499999999999991</v>
      </c>
      <c r="I221" s="15">
        <f>E221*241%</f>
        <v>180.75</v>
      </c>
      <c r="J221" s="15">
        <f>E221*0.07%</f>
        <v>5.2500000000000005E-2</v>
      </c>
      <c r="K221" s="15">
        <v>0</v>
      </c>
      <c r="L221" s="15">
        <f>E221*0.07%</f>
        <v>5.2500000000000005E-2</v>
      </c>
      <c r="M221" s="15">
        <f>E221*16%</f>
        <v>12</v>
      </c>
      <c r="N221" s="15">
        <f>E221*165%</f>
        <v>123.75</v>
      </c>
      <c r="O221" s="15">
        <f>E221*18%</f>
        <v>13.5</v>
      </c>
      <c r="P221" s="15">
        <f>E221*1.6%</f>
        <v>1.2</v>
      </c>
      <c r="Q221" s="15">
        <f>C221/1000*240</f>
        <v>24</v>
      </c>
    </row>
    <row r="222" spans="1:17" ht="18.75" x14ac:dyDescent="0.3">
      <c r="A222" s="51">
        <v>3</v>
      </c>
      <c r="B222" s="46" t="s">
        <v>61</v>
      </c>
      <c r="C222" s="19">
        <f>SUM(C221:C221)</f>
        <v>100</v>
      </c>
      <c r="D222" s="19">
        <f>SUM(D221:D221)</f>
        <v>25</v>
      </c>
      <c r="E222" s="19">
        <f>C222-D222</f>
        <v>75</v>
      </c>
      <c r="F222" s="19">
        <f t="shared" ref="F222:Q222" si="25">SUM(F221:F221)</f>
        <v>13.65</v>
      </c>
      <c r="G222" s="19">
        <f t="shared" si="25"/>
        <v>13.799999999999999</v>
      </c>
      <c r="H222" s="19">
        <f t="shared" si="25"/>
        <v>0.52499999999999991</v>
      </c>
      <c r="I222" s="19">
        <f t="shared" si="25"/>
        <v>180.75</v>
      </c>
      <c r="J222" s="19">
        <f t="shared" si="25"/>
        <v>5.2500000000000005E-2</v>
      </c>
      <c r="K222" s="19">
        <f t="shared" si="25"/>
        <v>0</v>
      </c>
      <c r="L222" s="19">
        <f t="shared" si="25"/>
        <v>5.2500000000000005E-2</v>
      </c>
      <c r="M222" s="19">
        <f t="shared" si="25"/>
        <v>12</v>
      </c>
      <c r="N222" s="19">
        <f t="shared" si="25"/>
        <v>123.75</v>
      </c>
      <c r="O222" s="19">
        <f t="shared" si="25"/>
        <v>13.5</v>
      </c>
      <c r="P222" s="19">
        <f t="shared" si="25"/>
        <v>1.2</v>
      </c>
      <c r="Q222" s="19">
        <f t="shared" si="25"/>
        <v>24</v>
      </c>
    </row>
    <row r="223" spans="1:17" ht="18.75" x14ac:dyDescent="0.3">
      <c r="A223" s="51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</row>
    <row r="224" spans="1:17" ht="18.75" x14ac:dyDescent="0.3">
      <c r="A224" s="51">
        <v>4</v>
      </c>
      <c r="B224" s="46" t="s">
        <v>58</v>
      </c>
      <c r="C224" s="19">
        <v>30</v>
      </c>
      <c r="D224" s="19">
        <v>0</v>
      </c>
      <c r="E224" s="19">
        <v>30</v>
      </c>
      <c r="F224" s="19">
        <f>E224*7.9%</f>
        <v>2.37</v>
      </c>
      <c r="G224" s="19">
        <f>E224*1%</f>
        <v>0.3</v>
      </c>
      <c r="H224" s="19">
        <f>E224*48.1%</f>
        <v>14.430000000000001</v>
      </c>
      <c r="I224" s="19">
        <f>E224*239%</f>
        <v>71.7</v>
      </c>
      <c r="J224" s="19">
        <f>E224*0.16%</f>
        <v>4.8000000000000001E-2</v>
      </c>
      <c r="K224" s="19">
        <v>0</v>
      </c>
      <c r="L224" s="19">
        <v>0</v>
      </c>
      <c r="M224" s="19">
        <f>E224*23%</f>
        <v>6.9</v>
      </c>
      <c r="N224" s="19">
        <f>E224*87%</f>
        <v>26.1</v>
      </c>
      <c r="O224" s="19">
        <f>E224*33%</f>
        <v>9.9</v>
      </c>
      <c r="P224" s="19">
        <f>E224*2%</f>
        <v>0.6</v>
      </c>
      <c r="Q224" s="19">
        <f>C224/1000*50</f>
        <v>1.5</v>
      </c>
    </row>
    <row r="225" spans="1:17" ht="18.75" x14ac:dyDescent="0.3">
      <c r="A225" s="51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</row>
    <row r="226" spans="1:17" ht="18.75" x14ac:dyDescent="0.3">
      <c r="A226" s="51"/>
      <c r="B226" s="15" t="s">
        <v>70</v>
      </c>
      <c r="C226" s="15">
        <v>15</v>
      </c>
      <c r="D226" s="15">
        <v>0</v>
      </c>
      <c r="E226" s="15">
        <v>15</v>
      </c>
      <c r="F226" s="15">
        <f>E226*5.2%</f>
        <v>0.78</v>
      </c>
      <c r="G226" s="15">
        <v>0</v>
      </c>
      <c r="H226" s="15">
        <f>E226*55%</f>
        <v>8.25</v>
      </c>
      <c r="I226" s="15">
        <f>E226*234%</f>
        <v>35.099999999999994</v>
      </c>
      <c r="J226" s="15">
        <f>E226*0.1%</f>
        <v>1.4999999999999999E-2</v>
      </c>
      <c r="K226" s="15">
        <f>E226*4%</f>
        <v>0.6</v>
      </c>
      <c r="L226" s="15">
        <v>0</v>
      </c>
      <c r="M226" s="15">
        <f>E226*160%</f>
        <v>24</v>
      </c>
      <c r="N226" s="15">
        <f>E226*146%</f>
        <v>21.9</v>
      </c>
      <c r="O226" s="15">
        <f>E226*105%</f>
        <v>15.75</v>
      </c>
      <c r="P226" s="15">
        <f>E226*3.2%</f>
        <v>0.48</v>
      </c>
      <c r="Q226" s="15">
        <f>C226/1000*600</f>
        <v>9</v>
      </c>
    </row>
    <row r="227" spans="1:17" ht="18.75" x14ac:dyDescent="0.3">
      <c r="A227" s="51"/>
      <c r="B227" s="15" t="s">
        <v>71</v>
      </c>
      <c r="C227" s="15">
        <v>10</v>
      </c>
      <c r="D227" s="15">
        <v>0</v>
      </c>
      <c r="E227" s="15">
        <v>10</v>
      </c>
      <c r="F227" s="15">
        <v>0</v>
      </c>
      <c r="G227" s="15">
        <v>0</v>
      </c>
      <c r="H227" s="15">
        <f>E227*99.8%</f>
        <v>9.98</v>
      </c>
      <c r="I227" s="15">
        <f>E227*379%</f>
        <v>37.9</v>
      </c>
      <c r="J227" s="15">
        <v>0</v>
      </c>
      <c r="K227" s="15">
        <v>0</v>
      </c>
      <c r="L227" s="15">
        <v>0</v>
      </c>
      <c r="M227" s="15">
        <f>E227*2%</f>
        <v>0.2</v>
      </c>
      <c r="N227" s="15">
        <v>0</v>
      </c>
      <c r="O227" s="15">
        <v>0</v>
      </c>
      <c r="P227" s="15">
        <f>E227*0.3%</f>
        <v>0.03</v>
      </c>
      <c r="Q227" s="15">
        <f>C227/1000*60</f>
        <v>0.6</v>
      </c>
    </row>
    <row r="228" spans="1:17" ht="18.75" x14ac:dyDescent="0.3">
      <c r="A228" s="51">
        <v>5</v>
      </c>
      <c r="B228" s="46" t="s">
        <v>69</v>
      </c>
      <c r="C228" s="19">
        <v>25</v>
      </c>
      <c r="D228" s="19">
        <f t="shared" ref="D228:P228" si="26">SUM(D226:D227)</f>
        <v>0</v>
      </c>
      <c r="E228" s="19">
        <v>150</v>
      </c>
      <c r="F228" s="19">
        <f t="shared" si="26"/>
        <v>0.78</v>
      </c>
      <c r="G228" s="19">
        <f t="shared" si="26"/>
        <v>0</v>
      </c>
      <c r="H228" s="19">
        <f t="shared" si="26"/>
        <v>18.23</v>
      </c>
      <c r="I228" s="19">
        <f t="shared" si="26"/>
        <v>73</v>
      </c>
      <c r="J228" s="19">
        <f t="shared" si="26"/>
        <v>1.4999999999999999E-2</v>
      </c>
      <c r="K228" s="19">
        <f t="shared" si="26"/>
        <v>0.6</v>
      </c>
      <c r="L228" s="19">
        <f t="shared" si="26"/>
        <v>0</v>
      </c>
      <c r="M228" s="19">
        <f t="shared" si="26"/>
        <v>24.2</v>
      </c>
      <c r="N228" s="19">
        <f t="shared" si="26"/>
        <v>21.9</v>
      </c>
      <c r="O228" s="19">
        <f t="shared" si="26"/>
        <v>15.75</v>
      </c>
      <c r="P228" s="19">
        <f t="shared" si="26"/>
        <v>0.51</v>
      </c>
      <c r="Q228" s="19">
        <f>SUM(Q226:Q227)</f>
        <v>9.6</v>
      </c>
    </row>
    <row r="229" spans="1:17" ht="18.75" x14ac:dyDescent="0.3">
      <c r="A229" s="51"/>
      <c r="B229" s="47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</row>
    <row r="230" spans="1:17" ht="18.75" x14ac:dyDescent="0.3">
      <c r="A230" s="51">
        <v>6</v>
      </c>
      <c r="B230" s="46" t="s">
        <v>60</v>
      </c>
      <c r="C230" s="19">
        <v>110</v>
      </c>
      <c r="D230" s="19">
        <v>0</v>
      </c>
      <c r="E230" s="19">
        <f>C230-D230</f>
        <v>110</v>
      </c>
      <c r="F230" s="19">
        <f>E230*1.5%</f>
        <v>1.65</v>
      </c>
      <c r="G230" s="19">
        <f>E230*0.5%</f>
        <v>0.55000000000000004</v>
      </c>
      <c r="H230" s="19">
        <f>E230*21%</f>
        <v>23.099999999999998</v>
      </c>
      <c r="I230" s="19">
        <f>E230*96%</f>
        <v>105.6</v>
      </c>
      <c r="J230" s="19">
        <v>0</v>
      </c>
      <c r="K230" s="19">
        <v>8.6999999999999993</v>
      </c>
      <c r="L230" s="19">
        <v>3</v>
      </c>
      <c r="M230" s="19">
        <v>5</v>
      </c>
      <c r="N230" s="19">
        <v>22</v>
      </c>
      <c r="O230" s="19">
        <v>27</v>
      </c>
      <c r="P230" s="19">
        <v>0.3</v>
      </c>
      <c r="Q230" s="19">
        <f>C230/1000*120</f>
        <v>13.2</v>
      </c>
    </row>
    <row r="231" spans="1:17" ht="18.75" x14ac:dyDescent="0.3">
      <c r="A231" s="55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</row>
    <row r="232" spans="1:17" ht="18.75" x14ac:dyDescent="0.3">
      <c r="A232" s="55">
        <v>7</v>
      </c>
      <c r="B232" s="46" t="s">
        <v>82</v>
      </c>
      <c r="C232" s="39">
        <v>3</v>
      </c>
      <c r="D232" s="19">
        <v>0</v>
      </c>
      <c r="E232" s="39">
        <f>C232-D232</f>
        <v>3</v>
      </c>
      <c r="F232" s="19">
        <v>0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0</v>
      </c>
      <c r="N232" s="19">
        <v>0</v>
      </c>
      <c r="O232" s="19">
        <v>0</v>
      </c>
      <c r="P232" s="19">
        <v>0</v>
      </c>
      <c r="Q232" s="39">
        <f>C232/1000*20</f>
        <v>0.06</v>
      </c>
    </row>
    <row r="233" spans="1:17" ht="18.75" x14ac:dyDescent="0.3">
      <c r="A233" s="5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</row>
    <row r="234" spans="1:17" ht="23.25" x14ac:dyDescent="0.35">
      <c r="A234" s="55"/>
      <c r="B234" s="37" t="s">
        <v>73</v>
      </c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>
        <f>Q232+Q230+Q228+Q224+Q222+Q219+Q215</f>
        <v>60.945</v>
      </c>
    </row>
    <row r="235" spans="1:17" ht="23.25" x14ac:dyDescent="0.35">
      <c r="A235" s="60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</row>
    <row r="236" spans="1:17" ht="23.25" x14ac:dyDescent="0.35">
      <c r="A236" s="60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</row>
    <row r="237" spans="1:17" ht="23.25" x14ac:dyDescent="0.35">
      <c r="A237" s="60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</row>
    <row r="238" spans="1:17" ht="23.25" x14ac:dyDescent="0.35">
      <c r="A238" s="60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</row>
    <row r="239" spans="1:17" ht="23.25" x14ac:dyDescent="0.35">
      <c r="A239" s="60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</row>
    <row r="240" spans="1:17" ht="23.25" x14ac:dyDescent="0.35">
      <c r="A240" s="60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</row>
    <row r="241" spans="1:17" ht="27.75" customHeight="1" x14ac:dyDescent="0.3">
      <c r="A241" s="56"/>
    </row>
    <row r="242" spans="1:17" ht="57.75" customHeight="1" x14ac:dyDescent="0.3">
      <c r="A242" s="55"/>
      <c r="B242" s="87" t="s">
        <v>0</v>
      </c>
      <c r="C242" s="88"/>
      <c r="D242" s="1"/>
      <c r="E242" s="1"/>
      <c r="F242" s="89" t="s">
        <v>1</v>
      </c>
      <c r="G242" s="89" t="s">
        <v>2</v>
      </c>
      <c r="H242" s="89" t="s">
        <v>3</v>
      </c>
      <c r="I242" s="89" t="s">
        <v>4</v>
      </c>
      <c r="J242" s="89" t="s">
        <v>5</v>
      </c>
      <c r="K242" s="89"/>
      <c r="L242" s="89"/>
      <c r="M242" s="89" t="s">
        <v>6</v>
      </c>
      <c r="N242" s="89"/>
      <c r="O242" s="89"/>
      <c r="P242" s="89"/>
      <c r="Q242" s="12"/>
    </row>
    <row r="243" spans="1:17" ht="27.75" customHeight="1" x14ac:dyDescent="0.3">
      <c r="A243" s="55"/>
      <c r="B243" s="87"/>
      <c r="C243" s="88"/>
      <c r="D243" s="1"/>
      <c r="E243" s="1"/>
      <c r="F243" s="89"/>
      <c r="G243" s="89"/>
      <c r="H243" s="89"/>
      <c r="I243" s="89"/>
      <c r="J243" s="2" t="s">
        <v>7</v>
      </c>
      <c r="K243" s="3" t="s">
        <v>8</v>
      </c>
      <c r="L243" s="2" t="s">
        <v>9</v>
      </c>
      <c r="M243" s="2" t="s">
        <v>10</v>
      </c>
      <c r="N243" s="2" t="s">
        <v>11</v>
      </c>
      <c r="O243" s="2" t="s">
        <v>12</v>
      </c>
      <c r="P243" s="2" t="s">
        <v>13</v>
      </c>
      <c r="Q243" s="12"/>
    </row>
    <row r="244" spans="1:17" ht="30" x14ac:dyDescent="0.3">
      <c r="A244" s="51"/>
      <c r="B244" s="7" t="s">
        <v>98</v>
      </c>
      <c r="C244" s="14" t="s">
        <v>19</v>
      </c>
      <c r="D244" s="13" t="s">
        <v>21</v>
      </c>
      <c r="E244" s="13" t="s">
        <v>20</v>
      </c>
      <c r="F244" s="8"/>
      <c r="G244" s="8"/>
      <c r="H244" s="8"/>
      <c r="I244" s="9"/>
      <c r="J244" s="10"/>
      <c r="K244" s="11"/>
      <c r="L244" s="10"/>
      <c r="M244" s="4"/>
      <c r="N244" s="4"/>
      <c r="O244" s="4"/>
      <c r="P244" s="4"/>
      <c r="Q244" s="38" t="s">
        <v>68</v>
      </c>
    </row>
    <row r="245" spans="1:17" ht="18.75" x14ac:dyDescent="0.3">
      <c r="A245" s="51"/>
      <c r="B245" s="6" t="s">
        <v>99</v>
      </c>
      <c r="C245" s="15">
        <v>70</v>
      </c>
      <c r="D245" s="15">
        <f>C245*20%</f>
        <v>14</v>
      </c>
      <c r="E245" s="15">
        <f>C245-D245</f>
        <v>56</v>
      </c>
      <c r="F245" s="15">
        <f>E245*18%</f>
        <v>10.08</v>
      </c>
      <c r="G245" s="15">
        <f>E245*13.2%</f>
        <v>7.3920000000000003</v>
      </c>
      <c r="H245" s="15">
        <v>0</v>
      </c>
      <c r="I245" s="15">
        <f>E245*191%</f>
        <v>106.96</v>
      </c>
      <c r="J245" s="15">
        <f>E245*0.12%</f>
        <v>6.7199999999999996E-2</v>
      </c>
      <c r="K245" s="15">
        <f>E245*1.2%</f>
        <v>0.67200000000000004</v>
      </c>
      <c r="L245" s="15">
        <f>E245*0.01%</f>
        <v>5.5999999999999999E-3</v>
      </c>
      <c r="M245" s="15">
        <f>E245*40%</f>
        <v>22.400000000000002</v>
      </c>
      <c r="N245" s="15">
        <f>E245*280%</f>
        <v>156.79999999999998</v>
      </c>
      <c r="O245" s="15">
        <f>E245*50%</f>
        <v>28</v>
      </c>
      <c r="P245" s="15">
        <f>E245*1.7%</f>
        <v>0.95200000000000007</v>
      </c>
      <c r="Q245" s="15">
        <f>C245/1000*400</f>
        <v>28.000000000000004</v>
      </c>
    </row>
    <row r="246" spans="1:17" ht="18.75" x14ac:dyDescent="0.3">
      <c r="A246" s="51"/>
      <c r="B246" s="6" t="s">
        <v>18</v>
      </c>
      <c r="C246" s="15">
        <v>10</v>
      </c>
      <c r="D246" s="15">
        <v>0</v>
      </c>
      <c r="E246" s="15">
        <f>C246-D246</f>
        <v>10</v>
      </c>
      <c r="F246" s="15">
        <v>0</v>
      </c>
      <c r="G246" s="17">
        <f>E246*99.9%</f>
        <v>9.990000000000002</v>
      </c>
      <c r="H246" s="15">
        <v>0</v>
      </c>
      <c r="I246" s="15">
        <f>E246*8.99%</f>
        <v>0.89900000000000002</v>
      </c>
      <c r="J246" s="15">
        <f>E246*0.06%</f>
        <v>5.9999999999999993E-3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15">
        <v>0</v>
      </c>
      <c r="Q246" s="12">
        <f>C246/1000*100</f>
        <v>1</v>
      </c>
    </row>
    <row r="247" spans="1:17" ht="18.75" x14ac:dyDescent="0.3">
      <c r="A247" s="51">
        <v>1</v>
      </c>
      <c r="B247" s="45" t="s">
        <v>97</v>
      </c>
      <c r="C247" s="16">
        <f>SUM(C245:C246)</f>
        <v>80</v>
      </c>
      <c r="D247" s="16">
        <f>SUM(D246:D246)</f>
        <v>0</v>
      </c>
      <c r="E247" s="16">
        <f t="shared" ref="E247:Q247" si="27">SUM(E245:E246)</f>
        <v>66</v>
      </c>
      <c r="F247" s="16">
        <f t="shared" si="27"/>
        <v>10.08</v>
      </c>
      <c r="G247" s="16">
        <f t="shared" si="27"/>
        <v>17.382000000000001</v>
      </c>
      <c r="H247" s="16">
        <f t="shared" si="27"/>
        <v>0</v>
      </c>
      <c r="I247" s="16">
        <f t="shared" si="27"/>
        <v>107.85899999999999</v>
      </c>
      <c r="J247" s="16">
        <f t="shared" si="27"/>
        <v>7.3200000000000001E-2</v>
      </c>
      <c r="K247" s="16">
        <f t="shared" si="27"/>
        <v>0.67200000000000004</v>
      </c>
      <c r="L247" s="16">
        <f t="shared" si="27"/>
        <v>5.5999999999999999E-3</v>
      </c>
      <c r="M247" s="16">
        <f t="shared" si="27"/>
        <v>22.400000000000002</v>
      </c>
      <c r="N247" s="16">
        <f t="shared" si="27"/>
        <v>156.79999999999998</v>
      </c>
      <c r="O247" s="16">
        <f t="shared" si="27"/>
        <v>28</v>
      </c>
      <c r="P247" s="16">
        <f t="shared" si="27"/>
        <v>0.95200000000000007</v>
      </c>
      <c r="Q247" s="16">
        <f t="shared" si="27"/>
        <v>29.000000000000004</v>
      </c>
    </row>
    <row r="248" spans="1:17" ht="18.75" x14ac:dyDescent="0.3">
      <c r="A248" s="51"/>
      <c r="B248" s="12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</row>
    <row r="249" spans="1:17" ht="18.75" x14ac:dyDescent="0.3">
      <c r="A249" s="51"/>
      <c r="B249" s="12" t="s">
        <v>114</v>
      </c>
      <c r="C249" s="15">
        <v>50</v>
      </c>
      <c r="D249" s="15">
        <v>0</v>
      </c>
      <c r="E249" s="15">
        <f>C249-D249</f>
        <v>50</v>
      </c>
      <c r="F249" s="15">
        <f>E249*2%</f>
        <v>1</v>
      </c>
      <c r="G249" s="15">
        <f>E249*0.4%</f>
        <v>0.2</v>
      </c>
      <c r="H249" s="15">
        <f>E249*16.3%</f>
        <v>8.15</v>
      </c>
      <c r="I249" s="15">
        <f>E249*80%</f>
        <v>40</v>
      </c>
      <c r="J249" s="15">
        <f>E249*0.12%</f>
        <v>0.06</v>
      </c>
      <c r="K249" s="15">
        <f>E249*20%</f>
        <v>10</v>
      </c>
      <c r="L249" s="15">
        <v>0</v>
      </c>
      <c r="M249" s="15">
        <f>E249*10%</f>
        <v>5</v>
      </c>
      <c r="N249" s="15">
        <f>E249*58%</f>
        <v>28.999999999999996</v>
      </c>
      <c r="O249" s="15">
        <f>E249*23%</f>
        <v>11.5</v>
      </c>
      <c r="P249" s="15">
        <f>E249*0.9%</f>
        <v>0.45000000000000007</v>
      </c>
      <c r="Q249" s="15">
        <f>C249/1000*55</f>
        <v>2.75</v>
      </c>
    </row>
    <row r="250" spans="1:17" ht="18.75" x14ac:dyDescent="0.3">
      <c r="A250" s="51"/>
      <c r="B250" s="12" t="s">
        <v>23</v>
      </c>
      <c r="C250" s="15">
        <v>9</v>
      </c>
      <c r="D250" s="15">
        <v>0</v>
      </c>
      <c r="E250" s="15">
        <f>C250-D250</f>
        <v>9</v>
      </c>
      <c r="F250" s="15">
        <f>E250*0.5%</f>
        <v>4.4999999999999998E-2</v>
      </c>
      <c r="G250" s="15">
        <f>E250*82.5%</f>
        <v>7.4249999999999998</v>
      </c>
      <c r="H250" s="15">
        <f>E250*0.8%</f>
        <v>7.2000000000000008E-2</v>
      </c>
      <c r="I250" s="15">
        <f>E250*748%</f>
        <v>67.320000000000007</v>
      </c>
      <c r="J250" s="15">
        <v>0</v>
      </c>
      <c r="K250" s="15">
        <v>0</v>
      </c>
      <c r="L250" s="15">
        <f>E250*0.59%</f>
        <v>5.3100000000000001E-2</v>
      </c>
      <c r="M250" s="15">
        <f>E250*12%</f>
        <v>1.08</v>
      </c>
      <c r="N250" s="15">
        <f>E250*19%</f>
        <v>1.71</v>
      </c>
      <c r="O250" s="15">
        <f>E250*0.4%</f>
        <v>3.6000000000000004E-2</v>
      </c>
      <c r="P250" s="15">
        <f>E250*0.2%</f>
        <v>1.8000000000000002E-2</v>
      </c>
      <c r="Q250" s="36">
        <f>C250/1000*300</f>
        <v>2.6999999999999997</v>
      </c>
    </row>
    <row r="251" spans="1:17" ht="18.75" x14ac:dyDescent="0.3">
      <c r="A251" s="51">
        <v>2</v>
      </c>
      <c r="B251" s="45" t="s">
        <v>113</v>
      </c>
      <c r="C251" s="19">
        <f t="shared" ref="C251:Q251" si="28">SUM(C249:C250)</f>
        <v>59</v>
      </c>
      <c r="D251" s="19">
        <f t="shared" si="28"/>
        <v>0</v>
      </c>
      <c r="E251" s="19">
        <v>150</v>
      </c>
      <c r="F251" s="19">
        <f t="shared" si="28"/>
        <v>1.0449999999999999</v>
      </c>
      <c r="G251" s="19">
        <f t="shared" si="28"/>
        <v>7.625</v>
      </c>
      <c r="H251" s="19">
        <f t="shared" si="28"/>
        <v>8.2219999999999995</v>
      </c>
      <c r="I251" s="19">
        <f t="shared" si="28"/>
        <v>107.32000000000001</v>
      </c>
      <c r="J251" s="19">
        <f t="shared" si="28"/>
        <v>0.06</v>
      </c>
      <c r="K251" s="19">
        <f t="shared" si="28"/>
        <v>10</v>
      </c>
      <c r="L251" s="19">
        <f t="shared" si="28"/>
        <v>5.3100000000000001E-2</v>
      </c>
      <c r="M251" s="19">
        <f t="shared" si="28"/>
        <v>6.08</v>
      </c>
      <c r="N251" s="19">
        <f t="shared" si="28"/>
        <v>30.709999999999997</v>
      </c>
      <c r="O251" s="19">
        <f t="shared" si="28"/>
        <v>11.536</v>
      </c>
      <c r="P251" s="19">
        <f t="shared" si="28"/>
        <v>0.46800000000000008</v>
      </c>
      <c r="Q251" s="19">
        <f t="shared" si="28"/>
        <v>5.4499999999999993</v>
      </c>
    </row>
    <row r="252" spans="1:17" ht="18.75" x14ac:dyDescent="0.3">
      <c r="A252" s="51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</row>
    <row r="253" spans="1:17" ht="18.75" x14ac:dyDescent="0.3">
      <c r="A253" s="51">
        <v>3</v>
      </c>
      <c r="B253" s="46" t="s">
        <v>58</v>
      </c>
      <c r="C253" s="19">
        <v>50</v>
      </c>
      <c r="D253" s="19">
        <v>0</v>
      </c>
      <c r="E253" s="19">
        <v>50</v>
      </c>
      <c r="F253" s="19">
        <f>E253*7.9%</f>
        <v>3.95</v>
      </c>
      <c r="G253" s="19">
        <f>E253*1%</f>
        <v>0.5</v>
      </c>
      <c r="H253" s="19">
        <f>E253*48.1%</f>
        <v>24.05</v>
      </c>
      <c r="I253" s="19">
        <f>E253*239%</f>
        <v>119.5</v>
      </c>
      <c r="J253" s="19">
        <f>E253*0.16%</f>
        <v>0.08</v>
      </c>
      <c r="K253" s="19">
        <v>0</v>
      </c>
      <c r="L253" s="19">
        <v>0</v>
      </c>
      <c r="M253" s="19">
        <f>E253*23%</f>
        <v>11.5</v>
      </c>
      <c r="N253" s="19">
        <f>E253*87%</f>
        <v>43.5</v>
      </c>
      <c r="O253" s="19">
        <f>E253*33%</f>
        <v>16.5</v>
      </c>
      <c r="P253" s="19">
        <f>E253*2%</f>
        <v>1</v>
      </c>
      <c r="Q253" s="19">
        <f>C253/1000*50</f>
        <v>2.5</v>
      </c>
    </row>
    <row r="254" spans="1:17" ht="18.75" x14ac:dyDescent="0.3">
      <c r="A254" s="51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</row>
    <row r="255" spans="1:17" ht="18.75" x14ac:dyDescent="0.3">
      <c r="A255" s="51"/>
      <c r="B255" s="15" t="s">
        <v>70</v>
      </c>
      <c r="C255" s="15">
        <v>15</v>
      </c>
      <c r="D255" s="15">
        <v>0</v>
      </c>
      <c r="E255" s="15">
        <v>15</v>
      </c>
      <c r="F255" s="15">
        <f>E255*5.2%</f>
        <v>0.78</v>
      </c>
      <c r="G255" s="15">
        <v>0</v>
      </c>
      <c r="H255" s="15">
        <f>E255*55%</f>
        <v>8.25</v>
      </c>
      <c r="I255" s="15">
        <f>E255*234%</f>
        <v>35.099999999999994</v>
      </c>
      <c r="J255" s="15">
        <f>E255*0.1%</f>
        <v>1.4999999999999999E-2</v>
      </c>
      <c r="K255" s="15">
        <f>E255*4%</f>
        <v>0.6</v>
      </c>
      <c r="L255" s="15">
        <v>0</v>
      </c>
      <c r="M255" s="15">
        <f>E255*160%</f>
        <v>24</v>
      </c>
      <c r="N255" s="15">
        <f>E255*146%</f>
        <v>21.9</v>
      </c>
      <c r="O255" s="15">
        <f>E255*105%</f>
        <v>15.75</v>
      </c>
      <c r="P255" s="15">
        <f>E255*3.2%</f>
        <v>0.48</v>
      </c>
      <c r="Q255" s="15">
        <f>C255/1000*600</f>
        <v>9</v>
      </c>
    </row>
    <row r="256" spans="1:17" ht="18.75" x14ac:dyDescent="0.3">
      <c r="A256" s="51"/>
      <c r="B256" s="15" t="s">
        <v>71</v>
      </c>
      <c r="C256" s="15">
        <v>10</v>
      </c>
      <c r="D256" s="15">
        <v>0</v>
      </c>
      <c r="E256" s="15">
        <v>10</v>
      </c>
      <c r="F256" s="15">
        <v>0</v>
      </c>
      <c r="G256" s="15">
        <v>0</v>
      </c>
      <c r="H256" s="15">
        <f>E256*99.8%</f>
        <v>9.98</v>
      </c>
      <c r="I256" s="15">
        <f>E256*379%</f>
        <v>37.9</v>
      </c>
      <c r="J256" s="15">
        <v>0</v>
      </c>
      <c r="K256" s="15">
        <v>0</v>
      </c>
      <c r="L256" s="15">
        <v>0</v>
      </c>
      <c r="M256" s="15">
        <f>E256*2%</f>
        <v>0.2</v>
      </c>
      <c r="N256" s="15">
        <v>0</v>
      </c>
      <c r="O256" s="15">
        <v>0</v>
      </c>
      <c r="P256" s="15">
        <f>E256*0.3%</f>
        <v>0.03</v>
      </c>
      <c r="Q256" s="15">
        <f>C256/1000*60</f>
        <v>0.6</v>
      </c>
    </row>
    <row r="257" spans="1:17" ht="18.75" x14ac:dyDescent="0.3">
      <c r="A257" s="51">
        <v>4</v>
      </c>
      <c r="B257" s="46" t="s">
        <v>69</v>
      </c>
      <c r="C257" s="19">
        <v>25</v>
      </c>
      <c r="D257" s="19">
        <f t="shared" ref="D257:P257" si="29">SUM(D255:D256)</f>
        <v>0</v>
      </c>
      <c r="E257" s="19">
        <v>150</v>
      </c>
      <c r="F257" s="19">
        <f t="shared" si="29"/>
        <v>0.78</v>
      </c>
      <c r="G257" s="19">
        <f t="shared" si="29"/>
        <v>0</v>
      </c>
      <c r="H257" s="19">
        <f t="shared" si="29"/>
        <v>18.23</v>
      </c>
      <c r="I257" s="19">
        <f t="shared" si="29"/>
        <v>73</v>
      </c>
      <c r="J257" s="19">
        <f t="shared" si="29"/>
        <v>1.4999999999999999E-2</v>
      </c>
      <c r="K257" s="19">
        <f t="shared" si="29"/>
        <v>0.6</v>
      </c>
      <c r="L257" s="19">
        <f t="shared" si="29"/>
        <v>0</v>
      </c>
      <c r="M257" s="19">
        <f t="shared" si="29"/>
        <v>24.2</v>
      </c>
      <c r="N257" s="19">
        <f t="shared" si="29"/>
        <v>21.9</v>
      </c>
      <c r="O257" s="19">
        <f t="shared" si="29"/>
        <v>15.75</v>
      </c>
      <c r="P257" s="19">
        <f t="shared" si="29"/>
        <v>0.51</v>
      </c>
      <c r="Q257" s="19">
        <f>SUM(Q255:Q256)</f>
        <v>9.6</v>
      </c>
    </row>
    <row r="258" spans="1:17" ht="18.75" x14ac:dyDescent="0.3">
      <c r="A258" s="51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</row>
    <row r="259" spans="1:17" ht="18.75" x14ac:dyDescent="0.3">
      <c r="A259" s="51">
        <v>5</v>
      </c>
      <c r="B259" s="46" t="s">
        <v>89</v>
      </c>
      <c r="C259" s="19">
        <v>120</v>
      </c>
      <c r="D259" s="19">
        <v>0</v>
      </c>
      <c r="E259" s="19">
        <f>C259-D259</f>
        <v>120</v>
      </c>
      <c r="F259" s="19">
        <f>E259*0.8%</f>
        <v>0.96</v>
      </c>
      <c r="G259" s="19">
        <f>E259*0.3%</f>
        <v>0.36</v>
      </c>
      <c r="H259" s="19">
        <f>E259*8.1%</f>
        <v>9.7200000000000006</v>
      </c>
      <c r="I259" s="19">
        <f>E259*40%</f>
        <v>48</v>
      </c>
      <c r="J259" s="19">
        <f>E259*0.06%</f>
        <v>7.1999999999999995E-2</v>
      </c>
      <c r="K259" s="19">
        <f>E259*38%</f>
        <v>45.6</v>
      </c>
      <c r="L259" s="19">
        <v>0</v>
      </c>
      <c r="M259" s="19">
        <f>E259*35%</f>
        <v>42</v>
      </c>
      <c r="N259" s="19">
        <f>E259*17%</f>
        <v>20.400000000000002</v>
      </c>
      <c r="O259" s="19">
        <f>E259*35%</f>
        <v>42</v>
      </c>
      <c r="P259" s="19">
        <f>E259*0.1%</f>
        <v>0.12</v>
      </c>
      <c r="Q259" s="19">
        <f>C259/1000*120</f>
        <v>14.399999999999999</v>
      </c>
    </row>
    <row r="260" spans="1:17" ht="18.75" x14ac:dyDescent="0.3">
      <c r="A260" s="55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</row>
    <row r="261" spans="1:17" ht="18.75" x14ac:dyDescent="0.3">
      <c r="A261" s="55">
        <v>6</v>
      </c>
      <c r="B261" s="46" t="s">
        <v>82</v>
      </c>
      <c r="C261" s="39">
        <v>3</v>
      </c>
      <c r="D261" s="19">
        <v>0</v>
      </c>
      <c r="E261" s="39">
        <f>C261-D261</f>
        <v>3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  <c r="L261" s="19">
        <v>0</v>
      </c>
      <c r="M261" s="19">
        <v>0</v>
      </c>
      <c r="N261" s="19">
        <v>0</v>
      </c>
      <c r="O261" s="19">
        <v>0</v>
      </c>
      <c r="P261" s="19">
        <v>0</v>
      </c>
      <c r="Q261" s="39">
        <f>C261/1000*20</f>
        <v>0.06</v>
      </c>
    </row>
    <row r="262" spans="1:17" ht="18.75" x14ac:dyDescent="0.3">
      <c r="A262" s="5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</row>
    <row r="263" spans="1:17" ht="23.25" x14ac:dyDescent="0.35">
      <c r="A263" s="55"/>
      <c r="B263" s="37" t="s">
        <v>73</v>
      </c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>
        <f>Q247+Q251+Q253+Q257+Q259+Q261</f>
        <v>61.010000000000005</v>
      </c>
    </row>
    <row r="264" spans="1:17" ht="23.25" x14ac:dyDescent="0.35">
      <c r="A264" s="60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</row>
    <row r="265" spans="1:17" ht="23.25" x14ac:dyDescent="0.35">
      <c r="A265" s="60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</row>
    <row r="266" spans="1:17" ht="23.25" x14ac:dyDescent="0.35">
      <c r="A266" s="60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</row>
    <row r="267" spans="1:17" ht="23.25" x14ac:dyDescent="0.35">
      <c r="A267" s="60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</row>
    <row r="268" spans="1:17" ht="23.25" x14ac:dyDescent="0.35">
      <c r="A268" s="60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</row>
    <row r="269" spans="1:17" ht="23.25" x14ac:dyDescent="0.35">
      <c r="A269" s="60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</row>
    <row r="270" spans="1:17" ht="114.75" customHeight="1" x14ac:dyDescent="0.35">
      <c r="A270" s="60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</row>
    <row r="271" spans="1:17" ht="22.5" customHeight="1" x14ac:dyDescent="0.25">
      <c r="A271" s="90"/>
      <c r="B271" s="87" t="s">
        <v>0</v>
      </c>
      <c r="C271" s="88"/>
      <c r="D271" s="1"/>
      <c r="E271" s="1"/>
      <c r="F271" s="89" t="s">
        <v>1</v>
      </c>
      <c r="G271" s="89" t="s">
        <v>2</v>
      </c>
      <c r="H271" s="89" t="s">
        <v>3</v>
      </c>
      <c r="I271" s="89" t="s">
        <v>4</v>
      </c>
      <c r="J271" s="89" t="s">
        <v>5</v>
      </c>
      <c r="K271" s="89"/>
      <c r="L271" s="89"/>
      <c r="M271" s="89" t="s">
        <v>6</v>
      </c>
      <c r="N271" s="89"/>
      <c r="O271" s="89"/>
      <c r="P271" s="89"/>
      <c r="Q271" s="12"/>
    </row>
    <row r="272" spans="1:17" ht="33.75" customHeight="1" x14ac:dyDescent="0.25">
      <c r="A272" s="90"/>
      <c r="B272" s="87"/>
      <c r="C272" s="88"/>
      <c r="D272" s="1"/>
      <c r="E272" s="1"/>
      <c r="F272" s="89"/>
      <c r="G272" s="89"/>
      <c r="H272" s="89"/>
      <c r="I272" s="89"/>
      <c r="J272" s="2" t="s">
        <v>7</v>
      </c>
      <c r="K272" s="3" t="s">
        <v>8</v>
      </c>
      <c r="L272" s="2" t="s">
        <v>9</v>
      </c>
      <c r="M272" s="2" t="s">
        <v>10</v>
      </c>
      <c r="N272" s="2" t="s">
        <v>11</v>
      </c>
      <c r="O272" s="2" t="s">
        <v>12</v>
      </c>
      <c r="P272" s="2" t="s">
        <v>13</v>
      </c>
      <c r="Q272" s="12"/>
    </row>
    <row r="273" spans="1:17" ht="30" x14ac:dyDescent="0.3">
      <c r="A273" s="49"/>
      <c r="B273" s="7" t="s">
        <v>101</v>
      </c>
      <c r="C273" s="14" t="s">
        <v>19</v>
      </c>
      <c r="D273" s="13" t="s">
        <v>21</v>
      </c>
      <c r="E273" s="13" t="s">
        <v>20</v>
      </c>
      <c r="F273" s="8"/>
      <c r="G273" s="8"/>
      <c r="H273" s="8"/>
      <c r="I273" s="9"/>
      <c r="J273" s="10"/>
      <c r="K273" s="11"/>
      <c r="L273" s="10"/>
      <c r="M273" s="4"/>
      <c r="N273" s="4"/>
      <c r="O273" s="4"/>
      <c r="P273" s="4"/>
      <c r="Q273" s="38" t="s">
        <v>68</v>
      </c>
    </row>
    <row r="274" spans="1:17" ht="18.75" x14ac:dyDescent="0.3">
      <c r="A274" s="38"/>
      <c r="B274" s="6" t="s">
        <v>76</v>
      </c>
      <c r="C274" s="15">
        <v>40</v>
      </c>
      <c r="D274" s="15">
        <f>C274*0.2</f>
        <v>8</v>
      </c>
      <c r="E274" s="15">
        <f>C274-D274</f>
        <v>32</v>
      </c>
      <c r="F274" s="15">
        <f>E274*0.015</f>
        <v>0.48</v>
      </c>
      <c r="G274" s="15">
        <f>E274*0.001</f>
        <v>3.2000000000000001E-2</v>
      </c>
      <c r="H274" s="15">
        <f>E274*0.091</f>
        <v>2.9119999999999999</v>
      </c>
      <c r="I274" s="15">
        <f>E274*0.42</f>
        <v>13.44</v>
      </c>
      <c r="J274" s="15">
        <f>E274*0.02%</f>
        <v>6.4000000000000003E-3</v>
      </c>
      <c r="K274" s="15">
        <f>E274*10%</f>
        <v>3.2</v>
      </c>
      <c r="L274" s="15">
        <v>0</v>
      </c>
      <c r="M274" s="15">
        <f>E274*37%</f>
        <v>11.84</v>
      </c>
      <c r="N274" s="15">
        <f>E274*43%</f>
        <v>13.76</v>
      </c>
      <c r="O274" s="15">
        <f>E274*22%</f>
        <v>7.04</v>
      </c>
      <c r="P274" s="15">
        <f>E274*1.4%</f>
        <v>0.44799999999999995</v>
      </c>
      <c r="Q274" s="15">
        <f>C274/1000*60</f>
        <v>2.4</v>
      </c>
    </row>
    <row r="275" spans="1:17" ht="18.75" x14ac:dyDescent="0.3">
      <c r="A275" s="38"/>
      <c r="B275" s="6" t="s">
        <v>77</v>
      </c>
      <c r="C275" s="15">
        <v>5</v>
      </c>
      <c r="D275" s="15">
        <v>0</v>
      </c>
      <c r="E275" s="15">
        <f>C275-D275</f>
        <v>5</v>
      </c>
      <c r="F275" s="15">
        <f>E275*3.1%</f>
        <v>0.155</v>
      </c>
      <c r="G275" s="15">
        <f>E275*0.2%</f>
        <v>0.01</v>
      </c>
      <c r="H275" s="15">
        <f>E275*6.5%</f>
        <v>0.32500000000000001</v>
      </c>
      <c r="I275" s="15">
        <f>E275*40%</f>
        <v>2</v>
      </c>
      <c r="J275" s="15">
        <f>E275*0.11%</f>
        <v>5.5000000000000005E-3</v>
      </c>
      <c r="K275" s="15">
        <f>E275*10%</f>
        <v>0.5</v>
      </c>
      <c r="L275" s="15">
        <v>0</v>
      </c>
      <c r="M275" s="15">
        <f>E275*20%</f>
        <v>1</v>
      </c>
      <c r="N275" s="15">
        <f>E275*62%</f>
        <v>3.1</v>
      </c>
      <c r="O275" s="15">
        <f>E275*21%</f>
        <v>1.05</v>
      </c>
      <c r="P275" s="15">
        <f>E275*0.7%</f>
        <v>3.4999999999999996E-2</v>
      </c>
      <c r="Q275" s="15">
        <f>C275/1000*270</f>
        <v>1.35</v>
      </c>
    </row>
    <row r="276" spans="1:17" ht="18.75" x14ac:dyDescent="0.3">
      <c r="A276" s="38"/>
      <c r="B276" s="6" t="s">
        <v>18</v>
      </c>
      <c r="C276" s="15">
        <v>3</v>
      </c>
      <c r="D276" s="15">
        <v>0</v>
      </c>
      <c r="E276" s="15">
        <v>3</v>
      </c>
      <c r="F276" s="15">
        <v>0</v>
      </c>
      <c r="G276" s="17">
        <f>E276*0.999</f>
        <v>2.9969999999999999</v>
      </c>
      <c r="H276" s="15">
        <v>0</v>
      </c>
      <c r="I276" s="15">
        <f>E276*8.99</f>
        <v>26.97</v>
      </c>
      <c r="J276" s="15">
        <f>E276*0.06%</f>
        <v>1.8E-3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15">
        <v>0</v>
      </c>
      <c r="Q276" s="15">
        <f>C276/1000*100</f>
        <v>0.3</v>
      </c>
    </row>
    <row r="277" spans="1:17" ht="18.75" x14ac:dyDescent="0.3">
      <c r="A277" s="38">
        <v>1</v>
      </c>
      <c r="B277" s="45" t="s">
        <v>75</v>
      </c>
      <c r="C277" s="19">
        <f t="shared" ref="C277:Q277" si="30">SUM(C274:C276)</f>
        <v>48</v>
      </c>
      <c r="D277" s="19">
        <f t="shared" si="30"/>
        <v>8</v>
      </c>
      <c r="E277" s="19">
        <f t="shared" si="30"/>
        <v>40</v>
      </c>
      <c r="F277" s="19">
        <f t="shared" si="30"/>
        <v>0.63500000000000001</v>
      </c>
      <c r="G277" s="19">
        <f t="shared" si="30"/>
        <v>3.0389999999999997</v>
      </c>
      <c r="H277" s="19">
        <f t="shared" si="30"/>
        <v>3.2370000000000001</v>
      </c>
      <c r="I277" s="19">
        <f t="shared" si="30"/>
        <v>42.41</v>
      </c>
      <c r="J277" s="19">
        <f t="shared" si="30"/>
        <v>1.37E-2</v>
      </c>
      <c r="K277" s="19">
        <f t="shared" si="30"/>
        <v>3.7</v>
      </c>
      <c r="L277" s="19">
        <f t="shared" si="30"/>
        <v>0</v>
      </c>
      <c r="M277" s="19">
        <f t="shared" si="30"/>
        <v>12.84</v>
      </c>
      <c r="N277" s="19">
        <f t="shared" si="30"/>
        <v>16.86</v>
      </c>
      <c r="O277" s="19">
        <f t="shared" si="30"/>
        <v>8.09</v>
      </c>
      <c r="P277" s="19">
        <f t="shared" si="30"/>
        <v>0.48299999999999993</v>
      </c>
      <c r="Q277" s="19">
        <f t="shared" si="30"/>
        <v>4.05</v>
      </c>
    </row>
    <row r="278" spans="1:17" ht="18.75" x14ac:dyDescent="0.3">
      <c r="A278" s="38"/>
      <c r="B278" s="12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6"/>
    </row>
    <row r="279" spans="1:17" ht="18.75" x14ac:dyDescent="0.3">
      <c r="A279" s="38"/>
      <c r="B279" s="12" t="s">
        <v>22</v>
      </c>
      <c r="C279" s="15">
        <v>45</v>
      </c>
      <c r="D279" s="15">
        <v>0</v>
      </c>
      <c r="E279" s="15">
        <v>45</v>
      </c>
      <c r="F279" s="15">
        <f>E279*12.6%</f>
        <v>5.67</v>
      </c>
      <c r="G279" s="15">
        <f>E279*3.3%</f>
        <v>1.4850000000000001</v>
      </c>
      <c r="H279" s="15">
        <f>E279*62.1%</f>
        <v>27.945</v>
      </c>
      <c r="I279" s="15">
        <f>E279*335%</f>
        <v>150.75</v>
      </c>
      <c r="J279" s="15">
        <f>E279*0.43%</f>
        <v>0.19350000000000001</v>
      </c>
      <c r="K279" s="15">
        <v>0</v>
      </c>
      <c r="L279" s="15">
        <v>0</v>
      </c>
      <c r="M279" s="15">
        <f>E279*20%</f>
        <v>9</v>
      </c>
      <c r="N279" s="15">
        <f>E279*298%</f>
        <v>134.1</v>
      </c>
      <c r="O279" s="15">
        <f>E279*200%</f>
        <v>90</v>
      </c>
      <c r="P279" s="15">
        <f>E279*6.7%</f>
        <v>3.0150000000000001</v>
      </c>
      <c r="Q279" s="36">
        <f>C279/1000*80</f>
        <v>3.5999999999999996</v>
      </c>
    </row>
    <row r="280" spans="1:17" ht="18.75" x14ac:dyDescent="0.3">
      <c r="A280" s="38"/>
      <c r="B280" s="12" t="s">
        <v>23</v>
      </c>
      <c r="C280" s="15">
        <v>10</v>
      </c>
      <c r="D280" s="15">
        <v>0</v>
      </c>
      <c r="E280" s="15">
        <v>10</v>
      </c>
      <c r="F280" s="15">
        <f>E280*0.5%</f>
        <v>0.05</v>
      </c>
      <c r="G280" s="15">
        <f>E280*82.5%</f>
        <v>8.25</v>
      </c>
      <c r="H280" s="15">
        <f>E280*0.8%</f>
        <v>0.08</v>
      </c>
      <c r="I280" s="15">
        <f>E280*748%</f>
        <v>74.800000000000011</v>
      </c>
      <c r="J280" s="15">
        <v>0</v>
      </c>
      <c r="K280" s="15">
        <v>0</v>
      </c>
      <c r="L280" s="15">
        <f>E280*0.59%</f>
        <v>5.8999999999999997E-2</v>
      </c>
      <c r="M280" s="15">
        <f>E280*12%</f>
        <v>1.2</v>
      </c>
      <c r="N280" s="15">
        <f>E280*19%</f>
        <v>1.9</v>
      </c>
      <c r="O280" s="15">
        <f>E280*0.4%</f>
        <v>0.04</v>
      </c>
      <c r="P280" s="15">
        <f>E280*0.2%</f>
        <v>0.02</v>
      </c>
      <c r="Q280" s="36">
        <f>C280/1000*300</f>
        <v>3</v>
      </c>
    </row>
    <row r="281" spans="1:17" ht="18.75" x14ac:dyDescent="0.3">
      <c r="A281" s="38">
        <v>2</v>
      </c>
      <c r="B281" s="38" t="s">
        <v>24</v>
      </c>
      <c r="C281" s="19">
        <f>C280+C279</f>
        <v>55</v>
      </c>
      <c r="D281" s="19">
        <v>0</v>
      </c>
      <c r="E281" s="19">
        <v>160</v>
      </c>
      <c r="F281" s="19">
        <f t="shared" ref="F281:Q281" si="31">SUM(F279:F280)</f>
        <v>5.72</v>
      </c>
      <c r="G281" s="19">
        <f t="shared" si="31"/>
        <v>9.7349999999999994</v>
      </c>
      <c r="H281" s="19">
        <f t="shared" si="31"/>
        <v>28.024999999999999</v>
      </c>
      <c r="I281" s="19">
        <f t="shared" si="31"/>
        <v>225.55</v>
      </c>
      <c r="J281" s="19">
        <f t="shared" si="31"/>
        <v>0.19350000000000001</v>
      </c>
      <c r="K281" s="19">
        <f t="shared" si="31"/>
        <v>0</v>
      </c>
      <c r="L281" s="19">
        <f t="shared" si="31"/>
        <v>5.8999999999999997E-2</v>
      </c>
      <c r="M281" s="19">
        <f t="shared" si="31"/>
        <v>10.199999999999999</v>
      </c>
      <c r="N281" s="19">
        <f t="shared" si="31"/>
        <v>136</v>
      </c>
      <c r="O281" s="19">
        <f t="shared" si="31"/>
        <v>90.04</v>
      </c>
      <c r="P281" s="19">
        <f t="shared" si="31"/>
        <v>3.0350000000000001</v>
      </c>
      <c r="Q281" s="19">
        <f t="shared" si="31"/>
        <v>6.6</v>
      </c>
    </row>
    <row r="282" spans="1:17" ht="18.75" x14ac:dyDescent="0.3">
      <c r="A282" s="38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</row>
    <row r="283" spans="1:17" ht="18.75" x14ac:dyDescent="0.3">
      <c r="A283" s="38"/>
      <c r="B283" s="12" t="s">
        <v>25</v>
      </c>
      <c r="C283" s="15">
        <v>60</v>
      </c>
      <c r="D283" s="15">
        <f>C283*0.25</f>
        <v>15</v>
      </c>
      <c r="E283" s="15">
        <f>SUM(C283-D283)</f>
        <v>45</v>
      </c>
      <c r="F283" s="15">
        <f>E283*18.6%</f>
        <v>8.370000000000001</v>
      </c>
      <c r="G283" s="15">
        <f>E283*16%</f>
        <v>7.2</v>
      </c>
      <c r="H283" s="15">
        <v>0</v>
      </c>
      <c r="I283" s="15">
        <f>E283*218%</f>
        <v>98.100000000000009</v>
      </c>
      <c r="J283" s="15">
        <f>E283*0.06%</f>
        <v>2.6999999999999996E-2</v>
      </c>
      <c r="K283" s="15">
        <v>0</v>
      </c>
      <c r="L283" s="15">
        <v>0</v>
      </c>
      <c r="M283" s="15">
        <f>E283*9%</f>
        <v>4.05</v>
      </c>
      <c r="N283" s="15">
        <f>E283*188%</f>
        <v>84.6</v>
      </c>
      <c r="O283" s="15">
        <f>E283*22%</f>
        <v>9.9</v>
      </c>
      <c r="P283" s="15">
        <f>E283*2.7%</f>
        <v>1.2150000000000001</v>
      </c>
      <c r="Q283" s="15">
        <f>C283/1000*600</f>
        <v>36</v>
      </c>
    </row>
    <row r="284" spans="1:17" ht="18.75" x14ac:dyDescent="0.3">
      <c r="A284" s="38"/>
      <c r="B284" s="12" t="s">
        <v>16</v>
      </c>
      <c r="C284" s="15">
        <v>20</v>
      </c>
      <c r="D284" s="15">
        <v>5</v>
      </c>
      <c r="E284" s="15">
        <f>C284-D284</f>
        <v>15</v>
      </c>
      <c r="F284" s="15">
        <f>E284*1.3%</f>
        <v>0.19500000000000001</v>
      </c>
      <c r="G284" s="15">
        <f>E495*0.1%</f>
        <v>0</v>
      </c>
      <c r="H284" s="15">
        <f>E284*7.2%</f>
        <v>1.08</v>
      </c>
      <c r="I284" s="15">
        <f>E284*30%</f>
        <v>4.5</v>
      </c>
      <c r="J284" s="15">
        <f>E284*0.06%</f>
        <v>8.9999999999999993E-3</v>
      </c>
      <c r="K284" s="15">
        <f>E284*5%</f>
        <v>0.75</v>
      </c>
      <c r="L284" s="15">
        <v>0</v>
      </c>
      <c r="M284" s="15">
        <f>E284*51%</f>
        <v>7.65</v>
      </c>
      <c r="N284" s="15">
        <f>E284*55%</f>
        <v>8.25</v>
      </c>
      <c r="O284" s="15">
        <f>E284*38%</f>
        <v>5.7</v>
      </c>
      <c r="P284" s="15">
        <f>E284*0.7%</f>
        <v>0.10499999999999998</v>
      </c>
      <c r="Q284" s="15">
        <f>C284/1000*60</f>
        <v>1.2</v>
      </c>
    </row>
    <row r="285" spans="1:17" ht="18.75" x14ac:dyDescent="0.3">
      <c r="A285" s="38"/>
      <c r="B285" s="12" t="s">
        <v>80</v>
      </c>
      <c r="C285" s="15">
        <v>20</v>
      </c>
      <c r="D285" s="15">
        <f>C285*0.16</f>
        <v>3.2</v>
      </c>
      <c r="E285" s="15">
        <f>C285-D285</f>
        <v>16.8</v>
      </c>
      <c r="F285" s="15">
        <f>E285*1.4%</f>
        <v>0.23519999999999999</v>
      </c>
      <c r="G285">
        <v>0</v>
      </c>
      <c r="H285" s="15">
        <f>E285*9.1%</f>
        <v>1.5287999999999999</v>
      </c>
      <c r="I285" s="15">
        <f>E285*41%</f>
        <v>6.8879999999999999</v>
      </c>
      <c r="J285" s="15">
        <f>E285*0.05%</f>
        <v>8.4000000000000012E-3</v>
      </c>
      <c r="K285" s="15">
        <f>E285*10%</f>
        <v>1.6800000000000002</v>
      </c>
      <c r="L285" s="15">
        <v>0</v>
      </c>
      <c r="M285" s="15">
        <f>E285*31%</f>
        <v>5.2080000000000002</v>
      </c>
      <c r="N285" s="15">
        <f>E285*58%</f>
        <v>9.7439999999999998</v>
      </c>
      <c r="O285" s="15">
        <f>E285*14%</f>
        <v>2.3520000000000003</v>
      </c>
      <c r="P285" s="15">
        <f>E285*0.8%</f>
        <v>0.13440000000000002</v>
      </c>
      <c r="Q285" s="15">
        <f>C285/1000*40</f>
        <v>0.8</v>
      </c>
    </row>
    <row r="286" spans="1:17" ht="18.75" x14ac:dyDescent="0.3">
      <c r="A286" s="38"/>
      <c r="B286" s="12" t="s">
        <v>27</v>
      </c>
      <c r="C286" s="15">
        <v>7</v>
      </c>
      <c r="D286" s="15">
        <v>0</v>
      </c>
      <c r="E286" s="15">
        <f>SUM(C286:D286)</f>
        <v>7</v>
      </c>
      <c r="F286" s="15">
        <v>0</v>
      </c>
      <c r="G286" s="17">
        <f>E286*0.999</f>
        <v>6.9930000000000003</v>
      </c>
      <c r="H286" s="15">
        <v>0</v>
      </c>
      <c r="I286" s="15">
        <f>E286*8.99%</f>
        <v>0.62930000000000008</v>
      </c>
      <c r="J286" s="15">
        <f>E286*0.06%</f>
        <v>4.1999999999999997E-3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15">
        <v>0</v>
      </c>
      <c r="Q286" s="15">
        <f>C286/1000*100</f>
        <v>0.70000000000000007</v>
      </c>
    </row>
    <row r="287" spans="1:17" ht="18.75" x14ac:dyDescent="0.3">
      <c r="A287" s="38"/>
      <c r="B287" s="42" t="s">
        <v>92</v>
      </c>
      <c r="C287" s="42">
        <v>7</v>
      </c>
      <c r="D287" s="42">
        <v>0</v>
      </c>
      <c r="E287" s="42">
        <f>C287-D287</f>
        <v>7</v>
      </c>
      <c r="F287" s="42">
        <f>E287*7.9%</f>
        <v>0.55300000000000005</v>
      </c>
      <c r="G287" s="42">
        <f>E287*1%</f>
        <v>7.0000000000000007E-2</v>
      </c>
      <c r="H287" s="42">
        <f>E287*48.1%</f>
        <v>3.3670000000000004</v>
      </c>
      <c r="I287" s="42">
        <f>E287*239%</f>
        <v>16.73</v>
      </c>
      <c r="J287" s="42">
        <f>E287*0.16%</f>
        <v>1.12E-2</v>
      </c>
      <c r="K287" s="42">
        <v>0</v>
      </c>
      <c r="L287" s="42">
        <v>0</v>
      </c>
      <c r="M287" s="42">
        <f>E287*23%</f>
        <v>1.61</v>
      </c>
      <c r="N287" s="42">
        <f>E287*87%</f>
        <v>6.09</v>
      </c>
      <c r="O287" s="42">
        <f>E287*33%</f>
        <v>2.31</v>
      </c>
      <c r="P287" s="42">
        <f>E287*2%</f>
        <v>0.14000000000000001</v>
      </c>
      <c r="Q287" s="42">
        <f>C287/1000*27</f>
        <v>0.189</v>
      </c>
    </row>
    <row r="288" spans="1:17" ht="18.75" x14ac:dyDescent="0.3">
      <c r="A288" s="51">
        <v>3</v>
      </c>
      <c r="B288" s="46" t="s">
        <v>100</v>
      </c>
      <c r="C288" s="19">
        <f>SUM(C283:C287)</f>
        <v>114</v>
      </c>
      <c r="D288" s="19">
        <f>SUM(D283:D287)</f>
        <v>23.2</v>
      </c>
      <c r="E288" s="19">
        <f>SUM(E283:E287)</f>
        <v>90.8</v>
      </c>
      <c r="F288" s="19">
        <f t="shared" ref="F288:Q288" si="32">SUM(F283:F287)</f>
        <v>9.3532000000000028</v>
      </c>
      <c r="G288" s="19">
        <f t="shared" si="32"/>
        <v>14.263000000000002</v>
      </c>
      <c r="H288" s="19">
        <f t="shared" si="32"/>
        <v>5.9758000000000004</v>
      </c>
      <c r="I288" s="19">
        <f t="shared" si="32"/>
        <v>126.84730000000002</v>
      </c>
      <c r="J288" s="19">
        <f t="shared" si="32"/>
        <v>5.9799999999999999E-2</v>
      </c>
      <c r="K288" s="19">
        <f t="shared" si="32"/>
        <v>2.4300000000000002</v>
      </c>
      <c r="L288" s="19">
        <f t="shared" si="32"/>
        <v>0</v>
      </c>
      <c r="M288" s="19">
        <f t="shared" si="32"/>
        <v>18.518000000000001</v>
      </c>
      <c r="N288" s="19">
        <f t="shared" si="32"/>
        <v>108.684</v>
      </c>
      <c r="O288" s="19">
        <f t="shared" si="32"/>
        <v>20.262</v>
      </c>
      <c r="P288" s="19">
        <f t="shared" si="32"/>
        <v>1.5944000000000003</v>
      </c>
      <c r="Q288" s="19">
        <f t="shared" si="32"/>
        <v>38.889000000000003</v>
      </c>
    </row>
    <row r="289" spans="1:17" ht="18.75" x14ac:dyDescent="0.3">
      <c r="A289" s="51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</row>
    <row r="290" spans="1:17" ht="18.75" x14ac:dyDescent="0.3">
      <c r="A290" s="51">
        <v>4</v>
      </c>
      <c r="B290" s="46" t="s">
        <v>58</v>
      </c>
      <c r="C290" s="19">
        <v>30</v>
      </c>
      <c r="D290" s="19">
        <v>0</v>
      </c>
      <c r="E290" s="19">
        <v>30</v>
      </c>
      <c r="F290" s="19">
        <f>E290*7.9%</f>
        <v>2.37</v>
      </c>
      <c r="G290" s="19">
        <f>E290*1%</f>
        <v>0.3</v>
      </c>
      <c r="H290" s="19">
        <f>E290*48.1%</f>
        <v>14.430000000000001</v>
      </c>
      <c r="I290" s="19">
        <f>E290*239%</f>
        <v>71.7</v>
      </c>
      <c r="J290" s="19">
        <f>E290*0.16%</f>
        <v>4.8000000000000001E-2</v>
      </c>
      <c r="K290" s="19">
        <v>0</v>
      </c>
      <c r="L290" s="19">
        <v>0</v>
      </c>
      <c r="M290" s="19">
        <f>E290*23%</f>
        <v>6.9</v>
      </c>
      <c r="N290" s="19">
        <f>E290*87%</f>
        <v>26.1</v>
      </c>
      <c r="O290" s="19">
        <f>E290*33%</f>
        <v>9.9</v>
      </c>
      <c r="P290" s="19">
        <f>E290*2%</f>
        <v>0.6</v>
      </c>
      <c r="Q290" s="19">
        <f>C290/1000*50</f>
        <v>1.5</v>
      </c>
    </row>
    <row r="291" spans="1:17" ht="18.75" x14ac:dyDescent="0.3">
      <c r="A291" s="51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</row>
    <row r="292" spans="1:17" ht="18.75" x14ac:dyDescent="0.3">
      <c r="A292" s="52"/>
      <c r="B292" s="15" t="s">
        <v>54</v>
      </c>
      <c r="C292" s="15">
        <v>6.0000000000000001E-3</v>
      </c>
      <c r="D292" s="15">
        <v>0</v>
      </c>
      <c r="E292" s="15">
        <f>C292-D292</f>
        <v>6.0000000000000001E-3</v>
      </c>
      <c r="F292" s="15">
        <f>E292*0%</f>
        <v>0</v>
      </c>
      <c r="G292" s="15">
        <v>0</v>
      </c>
      <c r="H292" s="15">
        <f>E292*0%</f>
        <v>0</v>
      </c>
      <c r="I292" s="15">
        <f>E292*0%</f>
        <v>0</v>
      </c>
      <c r="J292" s="15">
        <f>E292*0.1%</f>
        <v>6.0000000000000002E-6</v>
      </c>
      <c r="K292" s="15">
        <f>E292*0%</f>
        <v>0</v>
      </c>
      <c r="L292" s="15">
        <v>0</v>
      </c>
      <c r="M292" s="15">
        <f>E292*0%</f>
        <v>0</v>
      </c>
      <c r="N292" s="15">
        <f>E292*0%</f>
        <v>0</v>
      </c>
      <c r="O292" s="15">
        <f>E292*0%</f>
        <v>0</v>
      </c>
      <c r="P292" s="15">
        <f>E292*0%</f>
        <v>0</v>
      </c>
      <c r="Q292" s="15">
        <f>C292/1000*1100</f>
        <v>6.6E-3</v>
      </c>
    </row>
    <row r="293" spans="1:17" ht="18.75" x14ac:dyDescent="0.3">
      <c r="A293" s="51"/>
      <c r="B293" s="15" t="s">
        <v>71</v>
      </c>
      <c r="C293" s="15">
        <v>15</v>
      </c>
      <c r="D293" s="15">
        <v>0</v>
      </c>
      <c r="E293" s="15">
        <v>15</v>
      </c>
      <c r="F293" s="15">
        <v>0</v>
      </c>
      <c r="G293" s="15">
        <v>0</v>
      </c>
      <c r="H293" s="15">
        <f>E293*99.8%</f>
        <v>14.97</v>
      </c>
      <c r="I293" s="15">
        <f>E293*379%</f>
        <v>56.85</v>
      </c>
      <c r="J293" s="15">
        <v>0</v>
      </c>
      <c r="K293" s="15">
        <v>0</v>
      </c>
      <c r="L293" s="15">
        <v>0</v>
      </c>
      <c r="M293" s="15">
        <f>E293*2%</f>
        <v>0.3</v>
      </c>
      <c r="N293" s="15">
        <v>0</v>
      </c>
      <c r="O293" s="15">
        <v>0</v>
      </c>
      <c r="P293" s="15">
        <f>E293*0.3%</f>
        <v>4.4999999999999998E-2</v>
      </c>
      <c r="Q293" s="15">
        <f>C293/1000*60</f>
        <v>0.89999999999999991</v>
      </c>
    </row>
    <row r="294" spans="1:17" ht="18.75" x14ac:dyDescent="0.3">
      <c r="A294" s="51">
        <v>5</v>
      </c>
      <c r="B294" s="46" t="s">
        <v>54</v>
      </c>
      <c r="C294" s="19">
        <f>C293+C292</f>
        <v>15.006</v>
      </c>
      <c r="D294" s="19">
        <f t="shared" ref="D294:P294" si="33">SUM(D292:D293)</f>
        <v>0</v>
      </c>
      <c r="E294" s="19">
        <v>150</v>
      </c>
      <c r="F294" s="19">
        <f t="shared" si="33"/>
        <v>0</v>
      </c>
      <c r="G294" s="19">
        <f t="shared" si="33"/>
        <v>0</v>
      </c>
      <c r="H294" s="19">
        <f t="shared" si="33"/>
        <v>14.97</v>
      </c>
      <c r="I294" s="19">
        <f t="shared" si="33"/>
        <v>56.85</v>
      </c>
      <c r="J294" s="19">
        <f t="shared" si="33"/>
        <v>6.0000000000000002E-6</v>
      </c>
      <c r="K294" s="19">
        <f t="shared" si="33"/>
        <v>0</v>
      </c>
      <c r="L294" s="19">
        <f t="shared" si="33"/>
        <v>0</v>
      </c>
      <c r="M294" s="19">
        <f t="shared" si="33"/>
        <v>0.3</v>
      </c>
      <c r="N294" s="19">
        <f t="shared" si="33"/>
        <v>0</v>
      </c>
      <c r="O294" s="19">
        <f t="shared" si="33"/>
        <v>0</v>
      </c>
      <c r="P294" s="19">
        <f t="shared" si="33"/>
        <v>4.4999999999999998E-2</v>
      </c>
      <c r="Q294" s="19">
        <f>SUM(Q292:Q293)</f>
        <v>0.90659999999999996</v>
      </c>
    </row>
    <row r="295" spans="1:17" ht="18.75" x14ac:dyDescent="0.3">
      <c r="A295" s="51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</row>
    <row r="296" spans="1:17" ht="18.75" x14ac:dyDescent="0.3">
      <c r="A296" s="51">
        <v>6</v>
      </c>
      <c r="B296" s="46" t="s">
        <v>72</v>
      </c>
      <c r="C296" s="19">
        <v>90</v>
      </c>
      <c r="D296" s="19">
        <v>0</v>
      </c>
      <c r="E296" s="19">
        <f>C296-D296</f>
        <v>90</v>
      </c>
      <c r="F296" s="19">
        <f>E296*0.4%</f>
        <v>0.36</v>
      </c>
      <c r="G296" s="19">
        <f>E296*0.4%</f>
        <v>0.36</v>
      </c>
      <c r="H296" s="19">
        <f>E296*9.8%</f>
        <v>8.82</v>
      </c>
      <c r="I296" s="19">
        <f>E296*45%</f>
        <v>40.5</v>
      </c>
      <c r="J296" s="19">
        <f>E296*0.03%</f>
        <v>2.6999999999999996E-2</v>
      </c>
      <c r="K296" s="19">
        <f>E296*13%</f>
        <v>11.700000000000001</v>
      </c>
      <c r="L296" s="19">
        <v>0</v>
      </c>
      <c r="M296" s="19">
        <f>E296*16%</f>
        <v>14.4</v>
      </c>
      <c r="N296" s="19">
        <f>E296*11%</f>
        <v>9.9</v>
      </c>
      <c r="O296" s="19">
        <f>E296*9%</f>
        <v>8.1</v>
      </c>
      <c r="P296" s="19">
        <f>E296*2.2%</f>
        <v>1.9800000000000002</v>
      </c>
      <c r="Q296" s="19">
        <f>C296/1000*100</f>
        <v>9</v>
      </c>
    </row>
    <row r="297" spans="1:17" ht="18.75" x14ac:dyDescent="0.3">
      <c r="A297" s="51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</row>
    <row r="298" spans="1:17" ht="18.75" x14ac:dyDescent="0.3">
      <c r="A298" s="51">
        <v>7</v>
      </c>
      <c r="B298" s="46" t="s">
        <v>82</v>
      </c>
      <c r="C298" s="39">
        <v>3</v>
      </c>
      <c r="D298" s="19">
        <v>0</v>
      </c>
      <c r="E298" s="39">
        <f>C298-D298</f>
        <v>3</v>
      </c>
      <c r="F298" s="19">
        <v>0</v>
      </c>
      <c r="G298" s="19">
        <v>0</v>
      </c>
      <c r="H298" s="19">
        <v>0</v>
      </c>
      <c r="I298" s="19">
        <v>0</v>
      </c>
      <c r="J298" s="19">
        <v>0</v>
      </c>
      <c r="K298" s="19">
        <v>0</v>
      </c>
      <c r="L298" s="19">
        <v>0</v>
      </c>
      <c r="M298" s="19">
        <v>0</v>
      </c>
      <c r="N298" s="19">
        <v>0</v>
      </c>
      <c r="O298" s="19">
        <v>0</v>
      </c>
      <c r="P298" s="19">
        <v>0</v>
      </c>
      <c r="Q298" s="39">
        <f>C298/1000*20</f>
        <v>0.06</v>
      </c>
    </row>
    <row r="299" spans="1:17" ht="18.75" x14ac:dyDescent="0.3">
      <c r="A299" s="53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</row>
    <row r="300" spans="1:17" ht="23.25" x14ac:dyDescent="0.35">
      <c r="A300" s="53"/>
      <c r="B300" s="37" t="s">
        <v>73</v>
      </c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>
        <f>Q277+Q281+Q288+Q290+Q294+Q296+Q298</f>
        <v>61.005600000000001</v>
      </c>
    </row>
    <row r="301" spans="1:17" ht="23.25" x14ac:dyDescent="0.35">
      <c r="A301" s="54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</row>
    <row r="302" spans="1:17" ht="23.25" x14ac:dyDescent="0.35">
      <c r="A302" s="54"/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</row>
    <row r="303" spans="1:17" ht="23.25" x14ac:dyDescent="0.35">
      <c r="A303" s="54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</row>
    <row r="304" spans="1:17" ht="113.25" customHeight="1" x14ac:dyDescent="0.35">
      <c r="A304" s="54"/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</row>
    <row r="305" spans="1:17" ht="63" customHeight="1" x14ac:dyDescent="0.25">
      <c r="A305" s="90"/>
      <c r="B305" s="87" t="s">
        <v>0</v>
      </c>
      <c r="C305" s="88"/>
      <c r="D305" s="1"/>
      <c r="E305" s="1"/>
      <c r="F305" s="89" t="s">
        <v>1</v>
      </c>
      <c r="G305" s="89" t="s">
        <v>2</v>
      </c>
      <c r="H305" s="89" t="s">
        <v>3</v>
      </c>
      <c r="I305" s="89" t="s">
        <v>4</v>
      </c>
      <c r="J305" s="89" t="s">
        <v>5</v>
      </c>
      <c r="K305" s="89"/>
      <c r="L305" s="89"/>
      <c r="M305" s="89" t="s">
        <v>6</v>
      </c>
      <c r="N305" s="89"/>
      <c r="O305" s="89"/>
      <c r="P305" s="89"/>
      <c r="Q305" s="12"/>
    </row>
    <row r="306" spans="1:17" ht="24" customHeight="1" x14ac:dyDescent="0.25">
      <c r="A306" s="90"/>
      <c r="B306" s="87"/>
      <c r="C306" s="88"/>
      <c r="D306" s="1"/>
      <c r="E306" s="1"/>
      <c r="F306" s="89"/>
      <c r="G306" s="89"/>
      <c r="H306" s="89"/>
      <c r="I306" s="89"/>
      <c r="J306" s="2" t="s">
        <v>7</v>
      </c>
      <c r="K306" s="3" t="s">
        <v>8</v>
      </c>
      <c r="L306" s="2" t="s">
        <v>9</v>
      </c>
      <c r="M306" s="2" t="s">
        <v>10</v>
      </c>
      <c r="N306" s="2" t="s">
        <v>11</v>
      </c>
      <c r="O306" s="2" t="s">
        <v>12</v>
      </c>
      <c r="P306" s="2" t="s">
        <v>13</v>
      </c>
      <c r="Q306" s="12"/>
    </row>
    <row r="307" spans="1:17" ht="30" x14ac:dyDescent="0.3">
      <c r="A307" s="49"/>
      <c r="B307" s="7" t="s">
        <v>102</v>
      </c>
      <c r="C307" s="14" t="s">
        <v>19</v>
      </c>
      <c r="D307" s="13" t="s">
        <v>21</v>
      </c>
      <c r="E307" s="13" t="s">
        <v>20</v>
      </c>
      <c r="F307" s="8"/>
      <c r="G307" s="8"/>
      <c r="H307" s="8"/>
      <c r="I307" s="9"/>
      <c r="J307" s="10"/>
      <c r="K307" s="11"/>
      <c r="L307" s="10"/>
      <c r="M307" s="4"/>
      <c r="N307" s="4"/>
      <c r="O307" s="4"/>
      <c r="P307" s="4"/>
      <c r="Q307" s="38" t="s">
        <v>68</v>
      </c>
    </row>
    <row r="308" spans="1:17" ht="18.75" hidden="1" x14ac:dyDescent="0.3">
      <c r="A308" s="50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</row>
    <row r="309" spans="1:17" ht="18.75" hidden="1" x14ac:dyDescent="0.3">
      <c r="A309" s="38"/>
      <c r="B309" s="6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</row>
    <row r="310" spans="1:17" ht="18.75" hidden="1" x14ac:dyDescent="0.3">
      <c r="A310" s="38"/>
      <c r="B310" s="6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</row>
    <row r="311" spans="1:17" ht="18.75" hidden="1" x14ac:dyDescent="0.3">
      <c r="A311" s="38"/>
      <c r="B311" s="6"/>
      <c r="C311" s="15"/>
      <c r="D311" s="15"/>
      <c r="E311" s="15"/>
      <c r="F311" s="15"/>
      <c r="G311" s="17"/>
      <c r="H311" s="15"/>
      <c r="I311" s="15"/>
      <c r="J311" s="15"/>
      <c r="K311" s="15"/>
      <c r="L311" s="15"/>
      <c r="M311" s="15"/>
      <c r="N311" s="15"/>
      <c r="O311" s="15"/>
      <c r="P311" s="15"/>
      <c r="Q311" s="15"/>
    </row>
    <row r="312" spans="1:17" ht="18.75" hidden="1" x14ac:dyDescent="0.3">
      <c r="A312" s="38"/>
      <c r="B312" s="5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</row>
    <row r="313" spans="1:17" ht="18.75" x14ac:dyDescent="0.3">
      <c r="A313" s="38"/>
      <c r="B313" s="12" t="s">
        <v>104</v>
      </c>
      <c r="C313" s="15">
        <v>50</v>
      </c>
      <c r="D313" s="15">
        <v>0</v>
      </c>
      <c r="E313" s="15">
        <f>C313-D313</f>
        <v>50</v>
      </c>
      <c r="F313" s="15">
        <f>E313*2.8%</f>
        <v>1.4</v>
      </c>
      <c r="G313" s="15">
        <f>E313*3.2%</f>
        <v>1.6</v>
      </c>
      <c r="H313" s="15">
        <f>E313*4.7%</f>
        <v>2.35</v>
      </c>
      <c r="I313" s="15">
        <f>E313*58%</f>
        <v>28.999999999999996</v>
      </c>
      <c r="J313" s="15">
        <f>E313*0.04</f>
        <v>2</v>
      </c>
      <c r="K313" s="15">
        <f>E313*1.3%</f>
        <v>0.65</v>
      </c>
      <c r="L313" s="15">
        <f>E313*0.01%</f>
        <v>5.0000000000000001E-3</v>
      </c>
      <c r="M313" s="15">
        <f>E313*120%</f>
        <v>60</v>
      </c>
      <c r="N313" s="15">
        <f>E313*90%</f>
        <v>45</v>
      </c>
      <c r="O313" s="15">
        <f>E313*14%</f>
        <v>7.0000000000000009</v>
      </c>
      <c r="P313" s="15">
        <f>E313*0.06%</f>
        <v>0.03</v>
      </c>
      <c r="Q313" s="44">
        <f>C313/1000*110</f>
        <v>5.5</v>
      </c>
    </row>
    <row r="314" spans="1:17" ht="18.75" x14ac:dyDescent="0.3">
      <c r="A314" s="38"/>
      <c r="B314" s="12" t="s">
        <v>26</v>
      </c>
      <c r="C314" s="15">
        <v>45</v>
      </c>
      <c r="D314" s="15">
        <v>0</v>
      </c>
      <c r="E314" s="15">
        <f>SUM(C314:D314)</f>
        <v>45</v>
      </c>
      <c r="F314" s="15">
        <f>E314*7%</f>
        <v>3.1500000000000004</v>
      </c>
      <c r="G314" s="15">
        <f>E314*1%</f>
        <v>0.45</v>
      </c>
      <c r="H314" s="15">
        <f>E314*71.4%</f>
        <v>32.130000000000003</v>
      </c>
      <c r="I314" s="15">
        <f>E314*330%</f>
        <v>148.5</v>
      </c>
      <c r="J314" s="15">
        <f>E314*0.08%</f>
        <v>3.6000000000000004E-2</v>
      </c>
      <c r="K314" s="15">
        <v>0</v>
      </c>
      <c r="L314" s="15">
        <v>0</v>
      </c>
      <c r="M314" s="15">
        <f>E314*8%</f>
        <v>3.6</v>
      </c>
      <c r="N314" s="15">
        <f>E314*150%</f>
        <v>67.5</v>
      </c>
      <c r="O314" s="15">
        <f>E314*50%</f>
        <v>22.5</v>
      </c>
      <c r="P314" s="15">
        <f>E314*1%</f>
        <v>0.45</v>
      </c>
      <c r="Q314" s="15">
        <f>C314/1000*75</f>
        <v>3.375</v>
      </c>
    </row>
    <row r="315" spans="1:17" ht="18.75" x14ac:dyDescent="0.3">
      <c r="A315" s="38"/>
      <c r="B315" s="12" t="s">
        <v>23</v>
      </c>
      <c r="C315" s="15">
        <v>15</v>
      </c>
      <c r="D315" s="15">
        <v>0</v>
      </c>
      <c r="E315" s="15">
        <f>C315-D315</f>
        <v>15</v>
      </c>
      <c r="F315" s="15">
        <f>E315*0.5%</f>
        <v>7.4999999999999997E-2</v>
      </c>
      <c r="G315" s="15">
        <f>E315*82.5%</f>
        <v>12.375</v>
      </c>
      <c r="H315" s="15">
        <f>E315*0.8%</f>
        <v>0.12</v>
      </c>
      <c r="I315" s="15">
        <f>E315*748%</f>
        <v>112.2</v>
      </c>
      <c r="J315" s="15">
        <v>0</v>
      </c>
      <c r="K315" s="15">
        <v>0</v>
      </c>
      <c r="L315" s="15">
        <f>E315*0.59%</f>
        <v>8.8499999999999995E-2</v>
      </c>
      <c r="M315" s="15">
        <f>E315*12%</f>
        <v>1.7999999999999998</v>
      </c>
      <c r="N315" s="15">
        <f>E315*19%</f>
        <v>2.85</v>
      </c>
      <c r="O315" s="15">
        <f>E315*0.4%</f>
        <v>0.06</v>
      </c>
      <c r="P315" s="15">
        <f>E315*0.2%</f>
        <v>0.03</v>
      </c>
      <c r="Q315" s="36">
        <f>C315/1000*300</f>
        <v>4.5</v>
      </c>
    </row>
    <row r="316" spans="1:17" ht="14.25" customHeight="1" x14ac:dyDescent="0.3">
      <c r="A316" s="38">
        <v>1</v>
      </c>
      <c r="B316" s="38" t="s">
        <v>103</v>
      </c>
      <c r="C316" s="19">
        <v>110</v>
      </c>
      <c r="D316" s="19">
        <v>0</v>
      </c>
      <c r="E316" s="19">
        <v>250</v>
      </c>
      <c r="F316" s="19">
        <f t="shared" ref="F316:P316" si="34">SUM(F314:F315)</f>
        <v>3.2250000000000005</v>
      </c>
      <c r="G316" s="19">
        <f t="shared" si="34"/>
        <v>12.824999999999999</v>
      </c>
      <c r="H316" s="19">
        <f t="shared" si="34"/>
        <v>32.25</v>
      </c>
      <c r="I316" s="19">
        <f t="shared" si="34"/>
        <v>260.7</v>
      </c>
      <c r="J316" s="19">
        <f t="shared" si="34"/>
        <v>3.6000000000000004E-2</v>
      </c>
      <c r="K316" s="19">
        <f t="shared" si="34"/>
        <v>0</v>
      </c>
      <c r="L316" s="19">
        <f t="shared" si="34"/>
        <v>8.8499999999999995E-2</v>
      </c>
      <c r="M316" s="19">
        <f t="shared" si="34"/>
        <v>5.4</v>
      </c>
      <c r="N316" s="19">
        <f t="shared" si="34"/>
        <v>70.349999999999994</v>
      </c>
      <c r="O316" s="19">
        <f t="shared" si="34"/>
        <v>22.56</v>
      </c>
      <c r="P316" s="19">
        <f t="shared" si="34"/>
        <v>0.48</v>
      </c>
      <c r="Q316" s="19">
        <f>SUM(Q313:Q315)</f>
        <v>13.375</v>
      </c>
    </row>
    <row r="317" spans="1:17" ht="18.75" hidden="1" x14ac:dyDescent="0.3">
      <c r="A317" s="38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</row>
    <row r="318" spans="1:17" ht="18.75" hidden="1" x14ac:dyDescent="0.3">
      <c r="A318" s="38"/>
      <c r="B318" s="12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</row>
    <row r="319" spans="1:17" ht="18.75" x14ac:dyDescent="0.3">
      <c r="A319" s="38"/>
      <c r="B319" s="12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</row>
    <row r="320" spans="1:17" ht="18.75" x14ac:dyDescent="0.3">
      <c r="A320" s="38"/>
      <c r="B320" s="12" t="s">
        <v>104</v>
      </c>
      <c r="C320" s="15">
        <v>100</v>
      </c>
      <c r="D320" s="15">
        <v>0</v>
      </c>
      <c r="E320" s="15">
        <f>C320-D320</f>
        <v>100</v>
      </c>
      <c r="F320" s="15">
        <f>E320*2.8%</f>
        <v>2.8</v>
      </c>
      <c r="G320" s="15">
        <f>E320*3.2%</f>
        <v>3.2</v>
      </c>
      <c r="H320" s="15">
        <f>E320*4.7%</f>
        <v>4.7</v>
      </c>
      <c r="I320" s="15">
        <f>E320*58%</f>
        <v>57.999999999999993</v>
      </c>
      <c r="J320" s="15">
        <f>E320*0.04</f>
        <v>4</v>
      </c>
      <c r="K320" s="15">
        <f>E320*1.3%</f>
        <v>1.3</v>
      </c>
      <c r="L320" s="15">
        <f>E320*0.01%</f>
        <v>0.01</v>
      </c>
      <c r="M320" s="15">
        <f>E320*120%</f>
        <v>120</v>
      </c>
      <c r="N320" s="15">
        <f>E320*90%</f>
        <v>90</v>
      </c>
      <c r="O320" s="15">
        <f>E320*14%</f>
        <v>14.000000000000002</v>
      </c>
      <c r="P320" s="15">
        <f>E320*0.06%</f>
        <v>0.06</v>
      </c>
      <c r="Q320" s="44">
        <f>C320/1000*110</f>
        <v>11</v>
      </c>
    </row>
    <row r="321" spans="1:17" ht="18.75" x14ac:dyDescent="0.3">
      <c r="A321" s="38"/>
      <c r="B321" s="15" t="s">
        <v>71</v>
      </c>
      <c r="C321" s="15">
        <v>10</v>
      </c>
      <c r="D321" s="15">
        <v>0</v>
      </c>
      <c r="E321" s="15">
        <f>C321-D321</f>
        <v>10</v>
      </c>
      <c r="F321" s="15">
        <v>0</v>
      </c>
      <c r="G321" s="15">
        <v>0</v>
      </c>
      <c r="H321" s="15">
        <f>E321*99.8%</f>
        <v>9.98</v>
      </c>
      <c r="I321" s="15">
        <f>E321*379%</f>
        <v>37.9</v>
      </c>
      <c r="J321" s="15">
        <v>0</v>
      </c>
      <c r="K321" s="15">
        <v>0</v>
      </c>
      <c r="L321" s="15">
        <v>0</v>
      </c>
      <c r="M321" s="15">
        <f>E321*2%</f>
        <v>0.2</v>
      </c>
      <c r="N321" s="15">
        <v>0</v>
      </c>
      <c r="O321" s="15">
        <v>0</v>
      </c>
      <c r="P321" s="15">
        <f>E321*0.3%</f>
        <v>0.03</v>
      </c>
      <c r="Q321" s="15">
        <f>C321/1000*60</f>
        <v>0.6</v>
      </c>
    </row>
    <row r="322" spans="1:17" ht="18.75" x14ac:dyDescent="0.3">
      <c r="A322" s="38"/>
      <c r="B322" s="44" t="s">
        <v>105</v>
      </c>
      <c r="C322" s="42">
        <v>5</v>
      </c>
      <c r="D322" s="42">
        <v>0</v>
      </c>
      <c r="E322" s="42">
        <f>C322-D322</f>
        <v>5</v>
      </c>
      <c r="F322" s="42">
        <f>E322*24.2%</f>
        <v>1.21</v>
      </c>
      <c r="G322" s="42">
        <f>E322*17.5%</f>
        <v>0.875</v>
      </c>
      <c r="H322" s="42">
        <f>E322*27.9%</f>
        <v>1.3949999999999998</v>
      </c>
      <c r="I322" s="42">
        <f>E322*380%</f>
        <v>19</v>
      </c>
      <c r="J322" s="42">
        <f>E322*0.1%</f>
        <v>5.0000000000000001E-3</v>
      </c>
      <c r="K322" s="42">
        <v>0</v>
      </c>
      <c r="L322" s="42">
        <f>E322*0.02%</f>
        <v>1E-3</v>
      </c>
      <c r="M322" s="42">
        <f>E322*55%</f>
        <v>2.75</v>
      </c>
      <c r="N322" s="42">
        <f>E322*655%</f>
        <v>32.75</v>
      </c>
      <c r="O322" s="42">
        <f>E322*191%</f>
        <v>9.5499999999999989</v>
      </c>
      <c r="P322" s="42">
        <f>E322*14.8%</f>
        <v>0.7400000000000001</v>
      </c>
      <c r="Q322" s="42">
        <f>C322/1000*850</f>
        <v>4.25</v>
      </c>
    </row>
    <row r="323" spans="1:17" ht="18.75" x14ac:dyDescent="0.3">
      <c r="A323" s="51">
        <v>2</v>
      </c>
      <c r="B323" s="46" t="s">
        <v>108</v>
      </c>
      <c r="C323" s="19">
        <v>115</v>
      </c>
      <c r="D323" s="19">
        <f>SUM(D318:D322)</f>
        <v>0</v>
      </c>
      <c r="E323" s="19">
        <f>SUM(C323:D323)</f>
        <v>115</v>
      </c>
      <c r="F323" s="19">
        <f t="shared" ref="F323:P323" si="35">SUM(F318:F322)</f>
        <v>4.01</v>
      </c>
      <c r="G323" s="19">
        <f t="shared" si="35"/>
        <v>4.0750000000000002</v>
      </c>
      <c r="H323" s="19">
        <f t="shared" si="35"/>
        <v>16.074999999999999</v>
      </c>
      <c r="I323" s="19">
        <f t="shared" si="35"/>
        <v>114.89999999999999</v>
      </c>
      <c r="J323" s="19">
        <f t="shared" si="35"/>
        <v>4.0049999999999999</v>
      </c>
      <c r="K323" s="19">
        <f t="shared" si="35"/>
        <v>1.3</v>
      </c>
      <c r="L323" s="19">
        <f t="shared" si="35"/>
        <v>1.0999999999999999E-2</v>
      </c>
      <c r="M323" s="19">
        <f t="shared" si="35"/>
        <v>122.95</v>
      </c>
      <c r="N323" s="19">
        <f t="shared" si="35"/>
        <v>122.75</v>
      </c>
      <c r="O323" s="19">
        <f t="shared" si="35"/>
        <v>23.55</v>
      </c>
      <c r="P323" s="19">
        <f t="shared" si="35"/>
        <v>0.83000000000000007</v>
      </c>
      <c r="Q323" s="19">
        <f>SUM(Q320:Q322)</f>
        <v>15.85</v>
      </c>
    </row>
    <row r="324" spans="1:17" ht="18.75" x14ac:dyDescent="0.3">
      <c r="A324" s="51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</row>
    <row r="325" spans="1:17" ht="18.75" x14ac:dyDescent="0.3">
      <c r="A325" s="51">
        <v>3</v>
      </c>
      <c r="B325" s="46" t="s">
        <v>58</v>
      </c>
      <c r="C325" s="19">
        <v>50</v>
      </c>
      <c r="D325" s="19">
        <v>0</v>
      </c>
      <c r="E325" s="19">
        <v>50</v>
      </c>
      <c r="F325" s="19">
        <f>E325*7.9%</f>
        <v>3.95</v>
      </c>
      <c r="G325" s="19">
        <f>E325*1%</f>
        <v>0.5</v>
      </c>
      <c r="H325" s="19">
        <f>E325*48.1%</f>
        <v>24.05</v>
      </c>
      <c r="I325" s="19">
        <f>E325*239%</f>
        <v>119.5</v>
      </c>
      <c r="J325" s="19">
        <f>E325*0.16%</f>
        <v>0.08</v>
      </c>
      <c r="K325" s="19">
        <v>0</v>
      </c>
      <c r="L325" s="19">
        <v>0</v>
      </c>
      <c r="M325" s="19">
        <f>E325*23%</f>
        <v>11.5</v>
      </c>
      <c r="N325" s="19">
        <f>E325*87%</f>
        <v>43.5</v>
      </c>
      <c r="O325" s="19">
        <f>E325*33%</f>
        <v>16.5</v>
      </c>
      <c r="P325" s="19">
        <f>E325*2%</f>
        <v>1</v>
      </c>
      <c r="Q325" s="19">
        <f>C325/1000*50</f>
        <v>2.5</v>
      </c>
    </row>
    <row r="326" spans="1:17" ht="18.75" x14ac:dyDescent="0.3">
      <c r="A326" s="51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</row>
    <row r="327" spans="1:17" ht="18.75" x14ac:dyDescent="0.3">
      <c r="A327" s="52">
        <v>4</v>
      </c>
      <c r="B327" s="46" t="s">
        <v>106</v>
      </c>
      <c r="C327" s="15">
        <v>50</v>
      </c>
      <c r="D327" s="15">
        <v>0</v>
      </c>
      <c r="E327" s="15">
        <f>C327-D327</f>
        <v>50</v>
      </c>
      <c r="F327" s="15">
        <f>E327*12.5%</f>
        <v>6.25</v>
      </c>
      <c r="G327" s="15">
        <f>E327*11.5%</f>
        <v>5.75</v>
      </c>
      <c r="H327" s="15">
        <f>E327*0.7%</f>
        <v>0.35</v>
      </c>
      <c r="I327" s="15">
        <f>E327*157%</f>
        <v>78.5</v>
      </c>
      <c r="J327" s="15">
        <f>E327*0.07%</f>
        <v>3.5000000000000003E-2</v>
      </c>
      <c r="K327" s="15">
        <f>E327*0%</f>
        <v>0</v>
      </c>
      <c r="L327" s="15">
        <f>E327*0.25%</f>
        <v>0.125</v>
      </c>
      <c r="M327" s="15">
        <f>E327*55%</f>
        <v>27.500000000000004</v>
      </c>
      <c r="N327" s="15">
        <f>E327*192%</f>
        <v>96</v>
      </c>
      <c r="O327" s="15">
        <f>E327*12%</f>
        <v>6</v>
      </c>
      <c r="P327" s="15">
        <f>E327*2.5%</f>
        <v>1.25</v>
      </c>
      <c r="Q327" s="19">
        <f>C327/1000*200</f>
        <v>10</v>
      </c>
    </row>
    <row r="328" spans="1:17" ht="18.75" x14ac:dyDescent="0.3">
      <c r="A328" s="51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</row>
    <row r="329" spans="1:17" ht="18.75" x14ac:dyDescent="0.3">
      <c r="A329" s="51">
        <v>5</v>
      </c>
      <c r="B329" s="46" t="s">
        <v>107</v>
      </c>
      <c r="C329" s="19">
        <v>40</v>
      </c>
      <c r="D329" s="19">
        <v>0</v>
      </c>
      <c r="E329" s="19">
        <f>C329-D329</f>
        <v>40</v>
      </c>
      <c r="F329" s="15">
        <f>E329*7.5%</f>
        <v>3</v>
      </c>
      <c r="G329" s="15">
        <f>E329*11.8%</f>
        <v>4.7200000000000006</v>
      </c>
      <c r="H329" s="15">
        <f>E329*74.4%</f>
        <v>29.760000000000005</v>
      </c>
      <c r="I329" s="15">
        <f>E329*436%</f>
        <v>174.4</v>
      </c>
      <c r="J329" s="15">
        <f>E329*0.08%</f>
        <v>3.2000000000000001E-2</v>
      </c>
      <c r="K329" s="15">
        <f>E329*0%</f>
        <v>0</v>
      </c>
      <c r="L329" s="15">
        <f>E329*0%</f>
        <v>0</v>
      </c>
      <c r="M329" s="15">
        <f>E329*29%</f>
        <v>11.6</v>
      </c>
      <c r="N329" s="15">
        <f>E329*90%</f>
        <v>36</v>
      </c>
      <c r="O329" s="15">
        <f>E329*20%</f>
        <v>8</v>
      </c>
      <c r="P329" s="15">
        <f>E329*2.1%</f>
        <v>0.84000000000000008</v>
      </c>
      <c r="Q329" s="19">
        <f>C329/1000*180</f>
        <v>7.2</v>
      </c>
    </row>
    <row r="330" spans="1:17" ht="18.75" x14ac:dyDescent="0.3">
      <c r="A330" s="51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</row>
    <row r="331" spans="1:17" ht="18.75" x14ac:dyDescent="0.3">
      <c r="A331" s="51">
        <v>6</v>
      </c>
      <c r="B331" s="46" t="s">
        <v>60</v>
      </c>
      <c r="C331" s="19">
        <v>100</v>
      </c>
      <c r="D331" s="19">
        <v>0</v>
      </c>
      <c r="E331" s="19">
        <f>C331-D331</f>
        <v>100</v>
      </c>
      <c r="F331" s="19">
        <f>E331*1.5%</f>
        <v>1.5</v>
      </c>
      <c r="G331" s="19">
        <f>E331*0.5%</f>
        <v>0.5</v>
      </c>
      <c r="H331" s="19">
        <f>E331*21%</f>
        <v>21</v>
      </c>
      <c r="I331" s="19">
        <f>E331*96%</f>
        <v>96</v>
      </c>
      <c r="J331" s="19">
        <v>0</v>
      </c>
      <c r="K331" s="19">
        <v>8.6999999999999993</v>
      </c>
      <c r="L331" s="19">
        <v>3</v>
      </c>
      <c r="M331" s="19">
        <v>5</v>
      </c>
      <c r="N331" s="19">
        <v>22</v>
      </c>
      <c r="O331" s="19">
        <v>27</v>
      </c>
      <c r="P331" s="19">
        <v>0.3</v>
      </c>
      <c r="Q331" s="19">
        <f>C331/1000*120</f>
        <v>12</v>
      </c>
    </row>
    <row r="332" spans="1:17" ht="18.75" x14ac:dyDescent="0.3">
      <c r="A332" s="51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</row>
    <row r="333" spans="1:17" ht="18.75" x14ac:dyDescent="0.3">
      <c r="A333" s="51">
        <v>7</v>
      </c>
      <c r="B333" s="46" t="s">
        <v>82</v>
      </c>
      <c r="C333" s="39">
        <v>3</v>
      </c>
      <c r="D333" s="19">
        <v>0</v>
      </c>
      <c r="E333" s="39">
        <f>C333-D333</f>
        <v>3</v>
      </c>
      <c r="F333" s="19">
        <v>0</v>
      </c>
      <c r="G333" s="19">
        <v>0</v>
      </c>
      <c r="H333" s="19">
        <v>0</v>
      </c>
      <c r="I333" s="19">
        <v>0</v>
      </c>
      <c r="J333" s="19">
        <v>0</v>
      </c>
      <c r="K333" s="19">
        <v>0</v>
      </c>
      <c r="L333" s="19">
        <v>0</v>
      </c>
      <c r="M333" s="19">
        <v>0</v>
      </c>
      <c r="N333" s="19">
        <v>0</v>
      </c>
      <c r="O333" s="19">
        <v>0</v>
      </c>
      <c r="P333" s="19">
        <v>0</v>
      </c>
      <c r="Q333" s="39">
        <f>C333/1000*20</f>
        <v>0.06</v>
      </c>
    </row>
    <row r="334" spans="1:17" ht="18.75" x14ac:dyDescent="0.3">
      <c r="A334" s="53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</row>
    <row r="335" spans="1:17" ht="23.25" x14ac:dyDescent="0.35">
      <c r="A335" s="53"/>
      <c r="B335" s="37" t="s">
        <v>73</v>
      </c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>
        <f>Q316+Q323+Q325+Q327+Q329+Q331+Q333</f>
        <v>60.985000000000007</v>
      </c>
    </row>
    <row r="336" spans="1:17" ht="23.25" x14ac:dyDescent="0.35">
      <c r="A336" s="54"/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</row>
    <row r="337" spans="1:17" ht="23.25" x14ac:dyDescent="0.35">
      <c r="A337" s="54"/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</row>
    <row r="338" spans="1:17" ht="23.25" x14ac:dyDescent="0.35">
      <c r="A338" s="54"/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</row>
    <row r="339" spans="1:17" ht="23.25" x14ac:dyDescent="0.35">
      <c r="A339" s="54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</row>
    <row r="340" spans="1:17" ht="23.25" x14ac:dyDescent="0.35">
      <c r="A340" s="54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</row>
    <row r="341" spans="1:17" ht="50.25" customHeight="1" x14ac:dyDescent="0.35">
      <c r="A341" s="54"/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</row>
    <row r="342" spans="1:17" ht="18.75" x14ac:dyDescent="0.3">
      <c r="A342" s="55"/>
      <c r="B342" s="87" t="s">
        <v>0</v>
      </c>
      <c r="C342" s="88"/>
      <c r="D342" s="1"/>
      <c r="E342" s="1"/>
      <c r="F342" s="89" t="s">
        <v>1</v>
      </c>
      <c r="G342" s="89" t="s">
        <v>2</v>
      </c>
      <c r="H342" s="89" t="s">
        <v>3</v>
      </c>
      <c r="I342" s="89" t="s">
        <v>4</v>
      </c>
      <c r="J342" s="89" t="s">
        <v>5</v>
      </c>
      <c r="K342" s="89"/>
      <c r="L342" s="89"/>
      <c r="M342" s="89" t="s">
        <v>6</v>
      </c>
      <c r="N342" s="89"/>
      <c r="O342" s="89"/>
      <c r="P342" s="89"/>
      <c r="Q342" s="12"/>
    </row>
    <row r="343" spans="1:17" ht="39" customHeight="1" x14ac:dyDescent="0.3">
      <c r="A343" s="55"/>
      <c r="B343" s="87"/>
      <c r="C343" s="88"/>
      <c r="D343" s="1"/>
      <c r="E343" s="1"/>
      <c r="F343" s="89"/>
      <c r="G343" s="89"/>
      <c r="H343" s="89"/>
      <c r="I343" s="89"/>
      <c r="J343" s="2" t="s">
        <v>7</v>
      </c>
      <c r="K343" s="3" t="s">
        <v>8</v>
      </c>
      <c r="L343" s="2" t="s">
        <v>9</v>
      </c>
      <c r="M343" s="2" t="s">
        <v>10</v>
      </c>
      <c r="N343" s="2" t="s">
        <v>11</v>
      </c>
      <c r="O343" s="2" t="s">
        <v>12</v>
      </c>
      <c r="P343" s="2" t="s">
        <v>13</v>
      </c>
      <c r="Q343" s="12"/>
    </row>
    <row r="344" spans="1:17" ht="30" x14ac:dyDescent="0.3">
      <c r="A344" s="55"/>
      <c r="B344" s="7" t="s">
        <v>109</v>
      </c>
      <c r="C344" s="14" t="s">
        <v>19</v>
      </c>
      <c r="D344" s="13" t="s">
        <v>21</v>
      </c>
      <c r="E344" s="13" t="s">
        <v>20</v>
      </c>
      <c r="F344" s="8"/>
      <c r="G344" s="8"/>
      <c r="H344" s="8"/>
      <c r="I344" s="9"/>
      <c r="J344" s="10"/>
      <c r="K344" s="11"/>
      <c r="L344" s="10"/>
      <c r="M344" s="4"/>
      <c r="N344" s="4"/>
      <c r="O344" s="4"/>
      <c r="P344" s="4"/>
      <c r="Q344" s="38" t="s">
        <v>68</v>
      </c>
    </row>
    <row r="345" spans="1:17" ht="18.75" x14ac:dyDescent="0.3">
      <c r="A345" s="38"/>
      <c r="B345" s="6" t="s">
        <v>77</v>
      </c>
      <c r="C345" s="15">
        <v>5</v>
      </c>
      <c r="D345" s="15">
        <v>0</v>
      </c>
      <c r="E345" s="15">
        <f>C345-D345</f>
        <v>5</v>
      </c>
      <c r="F345" s="15">
        <f>E345*3.1%</f>
        <v>0.155</v>
      </c>
      <c r="G345" s="15">
        <f>E345*0.2%</f>
        <v>0.01</v>
      </c>
      <c r="H345" s="15">
        <f>E345*6.5%</f>
        <v>0.32500000000000001</v>
      </c>
      <c r="I345" s="15">
        <f>E345*40%</f>
        <v>2</v>
      </c>
      <c r="J345" s="15">
        <f>E345*0.11%</f>
        <v>5.5000000000000005E-3</v>
      </c>
      <c r="K345" s="15">
        <f>E345*10%</f>
        <v>0.5</v>
      </c>
      <c r="L345" s="15">
        <v>0</v>
      </c>
      <c r="M345" s="15">
        <f>E345*20%</f>
        <v>1</v>
      </c>
      <c r="N345" s="15">
        <f>E345*62%</f>
        <v>3.1</v>
      </c>
      <c r="O345" s="15">
        <f>E345*21%</f>
        <v>1.05</v>
      </c>
      <c r="P345" s="15">
        <f>E345*0.7%</f>
        <v>3.4999999999999996E-2</v>
      </c>
      <c r="Q345" s="15">
        <f>C345/1000*270</f>
        <v>1.35</v>
      </c>
    </row>
    <row r="346" spans="1:17" ht="18.75" x14ac:dyDescent="0.3">
      <c r="A346" s="51"/>
      <c r="B346" s="6" t="s">
        <v>16</v>
      </c>
      <c r="C346" s="15">
        <v>20</v>
      </c>
      <c r="D346" s="15">
        <f>C346*0.2</f>
        <v>4</v>
      </c>
      <c r="E346" s="15">
        <f>C346-D346</f>
        <v>16</v>
      </c>
      <c r="F346" s="15">
        <f>E346*1.3%</f>
        <v>0.20800000000000002</v>
      </c>
      <c r="G346" s="17">
        <f>E346*0.001</f>
        <v>1.6E-2</v>
      </c>
      <c r="H346" s="15">
        <f>E346*0.072</f>
        <v>1.1519999999999999</v>
      </c>
      <c r="I346" s="15">
        <f>E346*0.3</f>
        <v>4.8</v>
      </c>
      <c r="J346" s="15">
        <f>E346*0.06%</f>
        <v>9.5999999999999992E-3</v>
      </c>
      <c r="K346" s="15">
        <f>E346*5%</f>
        <v>0.8</v>
      </c>
      <c r="L346" s="15">
        <v>0</v>
      </c>
      <c r="M346" s="15">
        <f>E346*51%</f>
        <v>8.16</v>
      </c>
      <c r="N346" s="15">
        <f>E346*55%</f>
        <v>8.8000000000000007</v>
      </c>
      <c r="O346" s="15">
        <f>E346*38%</f>
        <v>6.08</v>
      </c>
      <c r="P346" s="15">
        <f>E346*0.7%</f>
        <v>0.11199999999999999</v>
      </c>
      <c r="Q346" s="12">
        <f>C346/1000*60</f>
        <v>1.2</v>
      </c>
    </row>
    <row r="347" spans="1:17" ht="18.75" x14ac:dyDescent="0.3">
      <c r="A347" s="51"/>
      <c r="B347" s="12" t="s">
        <v>79</v>
      </c>
      <c r="C347" s="15">
        <v>20</v>
      </c>
      <c r="D347" s="15">
        <f>C347*20%</f>
        <v>4</v>
      </c>
      <c r="E347" s="15">
        <f>C347-D347</f>
        <v>16</v>
      </c>
      <c r="F347" s="15">
        <f>E347*2%</f>
        <v>0.32</v>
      </c>
      <c r="G347" s="15">
        <f>E347*0.4%</f>
        <v>6.4000000000000001E-2</v>
      </c>
      <c r="H347" s="15">
        <f>E347*16.3%</f>
        <v>2.6080000000000001</v>
      </c>
      <c r="I347" s="15">
        <f>E347*80%</f>
        <v>12.8</v>
      </c>
      <c r="J347" s="15">
        <f>E347*0.12%</f>
        <v>1.9199999999999998E-2</v>
      </c>
      <c r="K347" s="15">
        <f>E347*20%</f>
        <v>3.2</v>
      </c>
      <c r="L347" s="15">
        <v>0</v>
      </c>
      <c r="M347" s="15">
        <f>E347*10%</f>
        <v>1.6</v>
      </c>
      <c r="N347" s="15">
        <f>E347*58%</f>
        <v>9.2799999999999994</v>
      </c>
      <c r="O347" s="15">
        <f>E347*23%</f>
        <v>3.68</v>
      </c>
      <c r="P347" s="15">
        <f>E347*0.9%</f>
        <v>0.14400000000000002</v>
      </c>
      <c r="Q347" s="15">
        <f>C347/1000*60</f>
        <v>1.2</v>
      </c>
    </row>
    <row r="348" spans="1:17" ht="18.75" x14ac:dyDescent="0.3">
      <c r="A348" s="51"/>
      <c r="B348" s="6" t="s">
        <v>18</v>
      </c>
      <c r="C348" s="15">
        <v>5</v>
      </c>
      <c r="D348" s="15">
        <v>0</v>
      </c>
      <c r="E348" s="15">
        <v>5</v>
      </c>
      <c r="F348" s="15">
        <v>0</v>
      </c>
      <c r="G348" s="17">
        <f>E348*99.9%</f>
        <v>4.995000000000001</v>
      </c>
      <c r="H348" s="15">
        <v>0</v>
      </c>
      <c r="I348" s="15">
        <f>E348*8.99%</f>
        <v>0.44950000000000001</v>
      </c>
      <c r="J348" s="15">
        <f>E348*0.06%</f>
        <v>2.9999999999999996E-3</v>
      </c>
      <c r="K348" s="15">
        <v>0</v>
      </c>
      <c r="L348" s="15">
        <v>0</v>
      </c>
      <c r="M348" s="15">
        <v>0</v>
      </c>
      <c r="N348" s="15">
        <v>0</v>
      </c>
      <c r="O348" s="15">
        <v>0</v>
      </c>
      <c r="P348" s="15">
        <v>0</v>
      </c>
      <c r="Q348" s="12">
        <f>C348/1000*100</f>
        <v>0.5</v>
      </c>
    </row>
    <row r="349" spans="1:17" ht="18.75" x14ac:dyDescent="0.3">
      <c r="A349" s="51">
        <v>1</v>
      </c>
      <c r="B349" s="45" t="s">
        <v>15</v>
      </c>
      <c r="C349" s="16">
        <f>SUM(C346:C348)</f>
        <v>45</v>
      </c>
      <c r="D349" s="16">
        <f t="shared" ref="D349:P349" si="36">SUM(D346:D348)</f>
        <v>8</v>
      </c>
      <c r="E349" s="16">
        <f t="shared" si="36"/>
        <v>37</v>
      </c>
      <c r="F349" s="16">
        <f t="shared" si="36"/>
        <v>0.52800000000000002</v>
      </c>
      <c r="G349" s="16">
        <f t="shared" si="36"/>
        <v>5.0750000000000011</v>
      </c>
      <c r="H349" s="16">
        <f t="shared" si="36"/>
        <v>3.76</v>
      </c>
      <c r="I349" s="16">
        <f t="shared" si="36"/>
        <v>18.049500000000002</v>
      </c>
      <c r="J349" s="16">
        <f t="shared" si="36"/>
        <v>3.1800000000000002E-2</v>
      </c>
      <c r="K349" s="16">
        <f t="shared" si="36"/>
        <v>4</v>
      </c>
      <c r="L349" s="16">
        <f t="shared" si="36"/>
        <v>0</v>
      </c>
      <c r="M349" s="16">
        <f t="shared" si="36"/>
        <v>9.76</v>
      </c>
      <c r="N349" s="16">
        <f t="shared" si="36"/>
        <v>18.079999999999998</v>
      </c>
      <c r="O349" s="16">
        <f t="shared" si="36"/>
        <v>9.76</v>
      </c>
      <c r="P349" s="16">
        <f t="shared" si="36"/>
        <v>0.25600000000000001</v>
      </c>
      <c r="Q349" s="16">
        <f>SUM(Q346:Q348)</f>
        <v>2.9</v>
      </c>
    </row>
    <row r="350" spans="1:17" ht="18.75" x14ac:dyDescent="0.3">
      <c r="A350" s="51"/>
      <c r="B350" s="45"/>
      <c r="C350" s="16"/>
      <c r="D350" s="16"/>
      <c r="E350" s="16"/>
      <c r="F350" s="16"/>
      <c r="G350" s="62"/>
      <c r="H350" s="16"/>
      <c r="I350" s="16"/>
      <c r="J350" s="16"/>
      <c r="K350" s="16"/>
      <c r="L350" s="16"/>
      <c r="M350" s="16"/>
      <c r="N350" s="16"/>
      <c r="O350" s="16"/>
      <c r="P350" s="16"/>
      <c r="Q350" s="16"/>
    </row>
    <row r="351" spans="1:17" ht="18.75" x14ac:dyDescent="0.3">
      <c r="A351" s="38"/>
      <c r="B351" s="12" t="s">
        <v>80</v>
      </c>
      <c r="C351" s="15">
        <v>15</v>
      </c>
      <c r="D351" s="15">
        <f>C351*0.16</f>
        <v>2.4</v>
      </c>
      <c r="E351" s="15">
        <f>C351-D351</f>
        <v>12.6</v>
      </c>
      <c r="F351" s="15">
        <f>E351*1.4%</f>
        <v>0.17639999999999997</v>
      </c>
      <c r="G351">
        <v>0</v>
      </c>
      <c r="H351" s="15">
        <f>E351*9.1%</f>
        <v>1.1465999999999998</v>
      </c>
      <c r="I351" s="15">
        <f>E351*41%</f>
        <v>5.1659999999999995</v>
      </c>
      <c r="J351" s="15">
        <f>E351*0.05%</f>
        <v>6.3E-3</v>
      </c>
      <c r="K351" s="15">
        <f>E351*10%</f>
        <v>1.26</v>
      </c>
      <c r="L351" s="15">
        <v>0</v>
      </c>
      <c r="M351" s="15">
        <f>E351*31%</f>
        <v>3.9059999999999997</v>
      </c>
      <c r="N351" s="15">
        <f>E351*58%</f>
        <v>7.3079999999999989</v>
      </c>
      <c r="O351" s="15">
        <f>E351*14%</f>
        <v>1.764</v>
      </c>
      <c r="P351" s="15">
        <f>E351*0.8%</f>
        <v>0.1008</v>
      </c>
      <c r="Q351" s="15">
        <f>C351/1000*40</f>
        <v>0.6</v>
      </c>
    </row>
    <row r="352" spans="1:17" ht="18.75" x14ac:dyDescent="0.3">
      <c r="A352" s="38"/>
      <c r="B352" s="12" t="s">
        <v>25</v>
      </c>
      <c r="C352" s="15">
        <v>50</v>
      </c>
      <c r="D352" s="15">
        <f>C352*0.25</f>
        <v>12.5</v>
      </c>
      <c r="E352" s="15">
        <f>SUM(C352-D352)</f>
        <v>37.5</v>
      </c>
      <c r="F352" s="15">
        <f>E352*18.6%</f>
        <v>6.9750000000000014</v>
      </c>
      <c r="G352" s="15">
        <f>E352*16%</f>
        <v>6</v>
      </c>
      <c r="H352" s="15">
        <v>0</v>
      </c>
      <c r="I352" s="15">
        <f>E352*218%</f>
        <v>81.75</v>
      </c>
      <c r="J352" s="15">
        <f>E352*0.06%</f>
        <v>2.2499999999999999E-2</v>
      </c>
      <c r="K352" s="15">
        <v>0</v>
      </c>
      <c r="L352" s="15">
        <v>0</v>
      </c>
      <c r="M352" s="15">
        <f>E352*9%</f>
        <v>3.375</v>
      </c>
      <c r="N352" s="15">
        <f>E352*188%</f>
        <v>70.5</v>
      </c>
      <c r="O352" s="15">
        <f>E352*22%</f>
        <v>8.25</v>
      </c>
      <c r="P352" s="15">
        <f>E352*2.7%</f>
        <v>1.0125000000000002</v>
      </c>
      <c r="Q352" s="15">
        <f>C352/1000*600</f>
        <v>30</v>
      </c>
    </row>
    <row r="353" spans="1:17" ht="18.75" x14ac:dyDescent="0.3">
      <c r="A353" s="51"/>
      <c r="B353" s="12" t="s">
        <v>28</v>
      </c>
      <c r="C353" s="15">
        <v>3</v>
      </c>
      <c r="D353" s="15">
        <v>0</v>
      </c>
      <c r="E353" s="15">
        <f>SUM(C353:D353)</f>
        <v>3</v>
      </c>
      <c r="F353" s="15">
        <f>E353*1%</f>
        <v>0.03</v>
      </c>
      <c r="G353" s="15">
        <v>0</v>
      </c>
      <c r="H353" s="15">
        <f>E353*3.5%</f>
        <v>0.10500000000000001</v>
      </c>
      <c r="I353" s="15">
        <f>E353*19%</f>
        <v>0.57000000000000006</v>
      </c>
      <c r="J353" s="15">
        <f>E353*0.03%</f>
        <v>8.9999999999999998E-4</v>
      </c>
      <c r="K353" s="15">
        <f>E353*10%</f>
        <v>0.30000000000000004</v>
      </c>
      <c r="L353" s="15">
        <v>0</v>
      </c>
      <c r="M353" s="15">
        <f>C353*7%</f>
        <v>0.21000000000000002</v>
      </c>
      <c r="N353" s="15">
        <f>E353*32%</f>
        <v>0.96</v>
      </c>
      <c r="O353" s="15">
        <f>E353*12%</f>
        <v>0.36</v>
      </c>
      <c r="P353" s="15">
        <f>E353*0.7%</f>
        <v>2.0999999999999998E-2</v>
      </c>
      <c r="Q353" s="15">
        <f>C353/1000*180</f>
        <v>0.54</v>
      </c>
    </row>
    <row r="354" spans="1:17" ht="18.75" x14ac:dyDescent="0.3">
      <c r="A354" s="51"/>
      <c r="B354" s="6" t="s">
        <v>16</v>
      </c>
      <c r="C354" s="15">
        <v>15</v>
      </c>
      <c r="D354" s="15">
        <f>C354*0.2</f>
        <v>3</v>
      </c>
      <c r="E354" s="15">
        <f>C354-D354</f>
        <v>12</v>
      </c>
      <c r="F354" s="15">
        <f>E354*1.3%</f>
        <v>0.15600000000000003</v>
      </c>
      <c r="G354" s="17">
        <f>E354*0.001</f>
        <v>1.2E-2</v>
      </c>
      <c r="H354" s="15">
        <f>E354*0.072</f>
        <v>0.86399999999999988</v>
      </c>
      <c r="I354" s="15">
        <f>E354*0.3</f>
        <v>3.5999999999999996</v>
      </c>
      <c r="J354" s="15">
        <f>E354*0.06%</f>
        <v>7.1999999999999998E-3</v>
      </c>
      <c r="K354" s="15">
        <f>E354*5%</f>
        <v>0.60000000000000009</v>
      </c>
      <c r="L354" s="15">
        <v>0</v>
      </c>
      <c r="M354" s="15">
        <f>E354*51%</f>
        <v>6.12</v>
      </c>
      <c r="N354" s="15">
        <f>E354*55%</f>
        <v>6.6000000000000005</v>
      </c>
      <c r="O354" s="15">
        <f>E354*38%</f>
        <v>4.5600000000000005</v>
      </c>
      <c r="P354" s="15">
        <f>E354*0.7%</f>
        <v>8.3999999999999991E-2</v>
      </c>
      <c r="Q354" s="12">
        <f>C354/1000*60</f>
        <v>0.89999999999999991</v>
      </c>
    </row>
    <row r="355" spans="1:17" ht="18.75" x14ac:dyDescent="0.3">
      <c r="A355" s="51"/>
      <c r="B355" s="6" t="s">
        <v>17</v>
      </c>
      <c r="C355" s="15">
        <v>40</v>
      </c>
      <c r="D355" s="15">
        <f>C355*0.2</f>
        <v>8</v>
      </c>
      <c r="E355" s="15">
        <f>C355-D355</f>
        <v>32</v>
      </c>
      <c r="F355" s="15">
        <f>E355*0.018</f>
        <v>0.57599999999999996</v>
      </c>
      <c r="G355" s="17">
        <f>E355*0.001</f>
        <v>3.2000000000000001E-2</v>
      </c>
      <c r="H355" s="15">
        <f>E355*0.047</f>
        <v>1.504</v>
      </c>
      <c r="I355" s="15">
        <f>E355*0.27</f>
        <v>8.64</v>
      </c>
      <c r="J355" s="15">
        <f>E355*0.03%</f>
        <v>9.5999999999999992E-3</v>
      </c>
      <c r="K355" s="15">
        <f>E355*45%</f>
        <v>14.4</v>
      </c>
      <c r="L355" s="15">
        <v>0</v>
      </c>
      <c r="M355" s="15">
        <f>E355*48%</f>
        <v>15.36</v>
      </c>
      <c r="N355" s="15">
        <f>E355*31%</f>
        <v>9.92</v>
      </c>
      <c r="O355" s="15">
        <f>E355*16%</f>
        <v>5.12</v>
      </c>
      <c r="P355" s="15">
        <f>E355*0.6%</f>
        <v>0.192</v>
      </c>
      <c r="Q355" s="12">
        <f>C355/1000*30</f>
        <v>1.2</v>
      </c>
    </row>
    <row r="356" spans="1:17" ht="18.75" x14ac:dyDescent="0.3">
      <c r="A356" s="38"/>
      <c r="B356" s="6" t="s">
        <v>76</v>
      </c>
      <c r="C356" s="15">
        <v>50</v>
      </c>
      <c r="D356" s="15">
        <f>C356*0.2</f>
        <v>10</v>
      </c>
      <c r="E356" s="15">
        <f>C356-D356</f>
        <v>40</v>
      </c>
      <c r="F356" s="15">
        <f>E356*0.015</f>
        <v>0.6</v>
      </c>
      <c r="G356" s="15">
        <f>E356*0.001</f>
        <v>0.04</v>
      </c>
      <c r="H356" s="15">
        <f>E356*0.091</f>
        <v>3.6399999999999997</v>
      </c>
      <c r="I356" s="15">
        <f>E356*0.42</f>
        <v>16.8</v>
      </c>
      <c r="J356" s="15">
        <f>E356*0.02%</f>
        <v>8.0000000000000002E-3</v>
      </c>
      <c r="K356" s="15">
        <f>E356*10%</f>
        <v>4</v>
      </c>
      <c r="L356" s="15">
        <v>0</v>
      </c>
      <c r="M356" s="15">
        <f>E356*37%</f>
        <v>14.8</v>
      </c>
      <c r="N356" s="15">
        <f>E356*43%</f>
        <v>17.2</v>
      </c>
      <c r="O356" s="15">
        <f>E356*22%</f>
        <v>8.8000000000000007</v>
      </c>
      <c r="P356" s="15">
        <f>E356*1.4%</f>
        <v>0.55999999999999994</v>
      </c>
      <c r="Q356" s="15">
        <f>C356/1000*60</f>
        <v>3</v>
      </c>
    </row>
    <row r="357" spans="1:17" ht="18.75" x14ac:dyDescent="0.3">
      <c r="A357" s="51"/>
      <c r="B357" s="6" t="s">
        <v>18</v>
      </c>
      <c r="C357" s="15">
        <v>5</v>
      </c>
      <c r="D357" s="15">
        <v>0</v>
      </c>
      <c r="E357" s="15">
        <f>C357-D357</f>
        <v>5</v>
      </c>
      <c r="F357" s="15">
        <v>0</v>
      </c>
      <c r="G357" s="17">
        <f>E357*0.999</f>
        <v>4.9950000000000001</v>
      </c>
      <c r="H357" s="15">
        <v>0</v>
      </c>
      <c r="I357" s="15">
        <f>E357*8.99</f>
        <v>44.95</v>
      </c>
      <c r="J357" s="15">
        <f>E357*0.06%</f>
        <v>2.9999999999999996E-3</v>
      </c>
      <c r="K357" s="15">
        <v>0</v>
      </c>
      <c r="L357" s="15">
        <v>0</v>
      </c>
      <c r="M357" s="15">
        <v>0</v>
      </c>
      <c r="N357" s="15">
        <v>0</v>
      </c>
      <c r="O357" s="15">
        <v>0</v>
      </c>
      <c r="P357" s="15">
        <v>0</v>
      </c>
      <c r="Q357" s="15">
        <f>C357/1000*100</f>
        <v>0.5</v>
      </c>
    </row>
    <row r="358" spans="1:17" ht="18.75" x14ac:dyDescent="0.3">
      <c r="A358" s="51"/>
      <c r="B358" s="12" t="s">
        <v>79</v>
      </c>
      <c r="C358" s="15">
        <v>20</v>
      </c>
      <c r="D358" s="15">
        <f>C358*20%</f>
        <v>4</v>
      </c>
      <c r="E358" s="15">
        <f>C358-D358</f>
        <v>16</v>
      </c>
      <c r="F358" s="15">
        <f>E358*2%</f>
        <v>0.32</v>
      </c>
      <c r="G358" s="15">
        <f>E358*0.4%</f>
        <v>6.4000000000000001E-2</v>
      </c>
      <c r="H358" s="15">
        <f>E358*16.3%</f>
        <v>2.6080000000000001</v>
      </c>
      <c r="I358" s="15">
        <f>E358*80%</f>
        <v>12.8</v>
      </c>
      <c r="J358" s="15">
        <f>E358*0.12%</f>
        <v>1.9199999999999998E-2</v>
      </c>
      <c r="K358" s="15">
        <f>E358*20%</f>
        <v>3.2</v>
      </c>
      <c r="L358" s="15">
        <v>0</v>
      </c>
      <c r="M358" s="15">
        <f>E358*10%</f>
        <v>1.6</v>
      </c>
      <c r="N358" s="15">
        <f>E358*58%</f>
        <v>9.2799999999999994</v>
      </c>
      <c r="O358" s="15">
        <f>E358*23%</f>
        <v>3.68</v>
      </c>
      <c r="P358" s="15">
        <f>E358*0.9%</f>
        <v>0.14400000000000002</v>
      </c>
      <c r="Q358" s="15">
        <f>C358/1000*60</f>
        <v>1.2</v>
      </c>
    </row>
    <row r="359" spans="1:17" ht="18.75" x14ac:dyDescent="0.3">
      <c r="A359" s="51">
        <v>2</v>
      </c>
      <c r="B359" s="38" t="s">
        <v>115</v>
      </c>
      <c r="C359" s="19">
        <f>C358+C357+C356+C355+C354+C353+C352</f>
        <v>183</v>
      </c>
      <c r="D359" s="19">
        <f>SUM(D356:D358)</f>
        <v>14</v>
      </c>
      <c r="E359" s="19">
        <v>250</v>
      </c>
      <c r="F359" s="19">
        <f t="shared" ref="F359:P359" si="37">SUM(F356:F358)</f>
        <v>0.91999999999999993</v>
      </c>
      <c r="G359" s="19">
        <f t="shared" si="37"/>
        <v>5.0990000000000002</v>
      </c>
      <c r="H359" s="19">
        <f t="shared" si="37"/>
        <v>6.2479999999999993</v>
      </c>
      <c r="I359" s="19">
        <f t="shared" si="37"/>
        <v>74.55</v>
      </c>
      <c r="J359" s="19">
        <f t="shared" si="37"/>
        <v>3.0199999999999998E-2</v>
      </c>
      <c r="K359" s="19">
        <f t="shared" si="37"/>
        <v>7.2</v>
      </c>
      <c r="L359" s="19">
        <f t="shared" si="37"/>
        <v>0</v>
      </c>
      <c r="M359" s="19">
        <f t="shared" si="37"/>
        <v>16.400000000000002</v>
      </c>
      <c r="N359" s="19">
        <f t="shared" si="37"/>
        <v>26.479999999999997</v>
      </c>
      <c r="O359" s="19">
        <f t="shared" si="37"/>
        <v>12.48</v>
      </c>
      <c r="P359" s="19">
        <f t="shared" si="37"/>
        <v>0.70399999999999996</v>
      </c>
      <c r="Q359" s="19">
        <f>SUM(Q352:Q358)</f>
        <v>37.340000000000003</v>
      </c>
    </row>
    <row r="360" spans="1:17" ht="18.75" x14ac:dyDescent="0.3">
      <c r="A360" s="51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</row>
    <row r="361" spans="1:17" ht="18.75" hidden="1" x14ac:dyDescent="0.3">
      <c r="A361" s="51"/>
      <c r="B361" s="12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</row>
    <row r="362" spans="1:17" ht="18.75" hidden="1" x14ac:dyDescent="0.3">
      <c r="A362" s="51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</row>
    <row r="363" spans="1:17" ht="18.75" hidden="1" x14ac:dyDescent="0.3">
      <c r="A363" s="51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</row>
    <row r="364" spans="1:17" ht="18.75" x14ac:dyDescent="0.3">
      <c r="A364" s="51">
        <v>3</v>
      </c>
      <c r="B364" s="46" t="s">
        <v>58</v>
      </c>
      <c r="C364" s="19">
        <v>50</v>
      </c>
      <c r="D364" s="19">
        <v>0</v>
      </c>
      <c r="E364" s="19">
        <v>50</v>
      </c>
      <c r="F364" s="19">
        <f>E364*7.9%</f>
        <v>3.95</v>
      </c>
      <c r="G364" s="19">
        <f>E364*1%</f>
        <v>0.5</v>
      </c>
      <c r="H364" s="19">
        <f>E364*48.1%</f>
        <v>24.05</v>
      </c>
      <c r="I364" s="19">
        <f>E364*239%</f>
        <v>119.5</v>
      </c>
      <c r="J364" s="19">
        <f>E364*0.16%</f>
        <v>0.08</v>
      </c>
      <c r="K364" s="19">
        <v>0</v>
      </c>
      <c r="L364" s="19">
        <v>0</v>
      </c>
      <c r="M364" s="19">
        <f>E364*23%</f>
        <v>11.5</v>
      </c>
      <c r="N364" s="19">
        <f>E364*87%</f>
        <v>43.5</v>
      </c>
      <c r="O364" s="19">
        <f>E364*33%</f>
        <v>16.5</v>
      </c>
      <c r="P364" s="19">
        <f>E364*2%</f>
        <v>1</v>
      </c>
      <c r="Q364" s="19">
        <f>C364/1000*50</f>
        <v>2.5</v>
      </c>
    </row>
    <row r="365" spans="1:17" ht="18.75" x14ac:dyDescent="0.3">
      <c r="A365" s="51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</row>
    <row r="366" spans="1:17" ht="18.75" x14ac:dyDescent="0.3">
      <c r="A366" s="51"/>
      <c r="B366" s="15" t="s">
        <v>70</v>
      </c>
      <c r="C366" s="15">
        <v>15</v>
      </c>
      <c r="D366" s="15">
        <v>0</v>
      </c>
      <c r="E366" s="15">
        <v>15</v>
      </c>
      <c r="F366" s="15">
        <f>E366*5.2%</f>
        <v>0.78</v>
      </c>
      <c r="G366" s="15">
        <v>0</v>
      </c>
      <c r="H366" s="15">
        <f>E366*55%</f>
        <v>8.25</v>
      </c>
      <c r="I366" s="15">
        <f>E366*234%</f>
        <v>35.099999999999994</v>
      </c>
      <c r="J366" s="15">
        <f>E366*0.1%</f>
        <v>1.4999999999999999E-2</v>
      </c>
      <c r="K366" s="15">
        <f>E366*4%</f>
        <v>0.6</v>
      </c>
      <c r="L366" s="15">
        <v>0</v>
      </c>
      <c r="M366" s="15">
        <f>E366*160%</f>
        <v>24</v>
      </c>
      <c r="N366" s="15">
        <f>E366*146%</f>
        <v>21.9</v>
      </c>
      <c r="O366" s="15">
        <f>E366*105%</f>
        <v>15.75</v>
      </c>
      <c r="P366" s="15">
        <f>E366*3.2%</f>
        <v>0.48</v>
      </c>
      <c r="Q366" s="15">
        <f>C366/1000*600</f>
        <v>9</v>
      </c>
    </row>
    <row r="367" spans="1:17" ht="18.75" x14ac:dyDescent="0.3">
      <c r="A367" s="51"/>
      <c r="B367" s="15" t="s">
        <v>71</v>
      </c>
      <c r="C367" s="15">
        <v>10</v>
      </c>
      <c r="D367" s="15">
        <v>0</v>
      </c>
      <c r="E367" s="15">
        <v>10</v>
      </c>
      <c r="F367" s="15">
        <v>0</v>
      </c>
      <c r="G367" s="15">
        <v>0</v>
      </c>
      <c r="H367" s="15">
        <f>E367*99.8%</f>
        <v>9.98</v>
      </c>
      <c r="I367" s="15">
        <f>E367*379%</f>
        <v>37.9</v>
      </c>
      <c r="J367" s="15">
        <v>0</v>
      </c>
      <c r="K367" s="15">
        <v>0</v>
      </c>
      <c r="L367" s="15">
        <v>0</v>
      </c>
      <c r="M367" s="15">
        <f>E367*2%</f>
        <v>0.2</v>
      </c>
      <c r="N367" s="15">
        <v>0</v>
      </c>
      <c r="O367" s="15">
        <v>0</v>
      </c>
      <c r="P367" s="15">
        <f>E367*0.3%</f>
        <v>0.03</v>
      </c>
      <c r="Q367" s="15">
        <f>C367/1000*60</f>
        <v>0.6</v>
      </c>
    </row>
    <row r="368" spans="1:17" ht="18.75" x14ac:dyDescent="0.3">
      <c r="A368" s="51">
        <v>4</v>
      </c>
      <c r="B368" s="46" t="s">
        <v>69</v>
      </c>
      <c r="C368" s="19">
        <v>25</v>
      </c>
      <c r="D368" s="19">
        <f t="shared" ref="D368:P368" si="38">SUM(D366:D367)</f>
        <v>0</v>
      </c>
      <c r="E368" s="19">
        <v>150</v>
      </c>
      <c r="F368" s="19">
        <f t="shared" si="38"/>
        <v>0.78</v>
      </c>
      <c r="G368" s="19">
        <f t="shared" si="38"/>
        <v>0</v>
      </c>
      <c r="H368" s="19">
        <f t="shared" si="38"/>
        <v>18.23</v>
      </c>
      <c r="I368" s="19">
        <f t="shared" si="38"/>
        <v>73</v>
      </c>
      <c r="J368" s="19">
        <f t="shared" si="38"/>
        <v>1.4999999999999999E-2</v>
      </c>
      <c r="K368" s="19">
        <f t="shared" si="38"/>
        <v>0.6</v>
      </c>
      <c r="L368" s="19">
        <f t="shared" si="38"/>
        <v>0</v>
      </c>
      <c r="M368" s="19">
        <f t="shared" si="38"/>
        <v>24.2</v>
      </c>
      <c r="N368" s="19">
        <f t="shared" si="38"/>
        <v>21.9</v>
      </c>
      <c r="O368" s="19">
        <f t="shared" si="38"/>
        <v>15.75</v>
      </c>
      <c r="P368" s="19">
        <f t="shared" si="38"/>
        <v>0.51</v>
      </c>
      <c r="Q368" s="19">
        <f>SUM(Q366:Q367)</f>
        <v>9.6</v>
      </c>
    </row>
    <row r="369" spans="1:17" ht="18.75" x14ac:dyDescent="0.3">
      <c r="A369" s="51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</row>
    <row r="370" spans="1:17" ht="18.75" x14ac:dyDescent="0.3">
      <c r="A370" s="51">
        <v>5</v>
      </c>
      <c r="B370" s="46" t="s">
        <v>72</v>
      </c>
      <c r="C370" s="19">
        <v>86</v>
      </c>
      <c r="D370" s="19">
        <v>0</v>
      </c>
      <c r="E370" s="19">
        <f>C370-D370</f>
        <v>86</v>
      </c>
      <c r="F370" s="19">
        <f>E370*0.4%</f>
        <v>0.34400000000000003</v>
      </c>
      <c r="G370" s="19">
        <f>E370*0.4%</f>
        <v>0.34400000000000003</v>
      </c>
      <c r="H370" s="19">
        <f>E370*9.8%</f>
        <v>8.4280000000000008</v>
      </c>
      <c r="I370" s="19">
        <f>E370*45%</f>
        <v>38.700000000000003</v>
      </c>
      <c r="J370" s="19">
        <f>E370*0.03%</f>
        <v>2.5799999999999997E-2</v>
      </c>
      <c r="K370" s="19">
        <f>E370*13%</f>
        <v>11.18</v>
      </c>
      <c r="L370" s="19">
        <v>0</v>
      </c>
      <c r="M370" s="19">
        <f>E370*16%</f>
        <v>13.76</v>
      </c>
      <c r="N370" s="19">
        <f>E370*11%</f>
        <v>9.4600000000000009</v>
      </c>
      <c r="O370" s="19">
        <f>E370*9%</f>
        <v>7.7399999999999993</v>
      </c>
      <c r="P370" s="19">
        <f>E370*2.2%</f>
        <v>1.8920000000000001</v>
      </c>
      <c r="Q370" s="19">
        <f>C370/1000*100</f>
        <v>8.6</v>
      </c>
    </row>
    <row r="371" spans="1:17" ht="18.75" x14ac:dyDescent="0.3">
      <c r="A371" s="55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</row>
    <row r="372" spans="1:17" ht="18.75" x14ac:dyDescent="0.3">
      <c r="A372" s="55">
        <v>6</v>
      </c>
      <c r="B372" s="46" t="s">
        <v>82</v>
      </c>
      <c r="C372" s="39">
        <v>3</v>
      </c>
      <c r="D372" s="19">
        <v>0</v>
      </c>
      <c r="E372" s="39">
        <f>C372-D372</f>
        <v>3</v>
      </c>
      <c r="F372" s="19">
        <v>0</v>
      </c>
      <c r="G372" s="19">
        <v>0</v>
      </c>
      <c r="H372" s="19">
        <v>0</v>
      </c>
      <c r="I372" s="19">
        <v>0</v>
      </c>
      <c r="J372" s="19">
        <v>0</v>
      </c>
      <c r="K372" s="19">
        <v>0</v>
      </c>
      <c r="L372" s="19">
        <v>0</v>
      </c>
      <c r="M372" s="19">
        <v>0</v>
      </c>
      <c r="N372" s="19">
        <v>0</v>
      </c>
      <c r="O372" s="19">
        <v>0</v>
      </c>
      <c r="P372" s="19">
        <v>0</v>
      </c>
      <c r="Q372" s="39">
        <f>C372/1000*20</f>
        <v>0.06</v>
      </c>
    </row>
    <row r="373" spans="1:17" ht="18.75" x14ac:dyDescent="0.3">
      <c r="A373" s="5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</row>
    <row r="374" spans="1:17" ht="23.25" x14ac:dyDescent="0.35">
      <c r="A374" s="55"/>
      <c r="B374" s="37" t="s">
        <v>73</v>
      </c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>
        <f>Q349+Q359+Q364+Q368+Q370+Q372</f>
        <v>61.000000000000007</v>
      </c>
    </row>
    <row r="375" spans="1:17" ht="33.75" customHeight="1" x14ac:dyDescent="0.3">
      <c r="A375" s="56"/>
    </row>
    <row r="376" spans="1:17" ht="153.75" customHeight="1" x14ac:dyDescent="0.3">
      <c r="A376" s="56"/>
    </row>
    <row r="377" spans="1:17" ht="18.75" x14ac:dyDescent="0.3">
      <c r="A377" s="55"/>
      <c r="B377" s="87" t="s">
        <v>0</v>
      </c>
      <c r="C377" s="88"/>
      <c r="D377" s="84"/>
      <c r="E377" s="84"/>
      <c r="F377" s="89" t="s">
        <v>1</v>
      </c>
      <c r="G377" s="89" t="s">
        <v>2</v>
      </c>
      <c r="H377" s="89" t="s">
        <v>3</v>
      </c>
      <c r="I377" s="89" t="s">
        <v>4</v>
      </c>
      <c r="J377" s="89" t="s">
        <v>5</v>
      </c>
      <c r="K377" s="89"/>
      <c r="L377" s="89"/>
      <c r="M377" s="89" t="s">
        <v>6</v>
      </c>
      <c r="N377" s="89"/>
      <c r="O377" s="89"/>
      <c r="P377" s="89"/>
      <c r="Q377" s="12"/>
    </row>
    <row r="378" spans="1:17" ht="39" customHeight="1" x14ac:dyDescent="0.3">
      <c r="A378" s="55"/>
      <c r="B378" s="87"/>
      <c r="C378" s="88"/>
      <c r="D378" s="84"/>
      <c r="E378" s="84"/>
      <c r="F378" s="89"/>
      <c r="G378" s="89"/>
      <c r="H378" s="89"/>
      <c r="I378" s="89"/>
      <c r="J378" s="83" t="s">
        <v>7</v>
      </c>
      <c r="K378" s="3" t="s">
        <v>8</v>
      </c>
      <c r="L378" s="83" t="s">
        <v>9</v>
      </c>
      <c r="M378" s="83" t="s">
        <v>10</v>
      </c>
      <c r="N378" s="83" t="s">
        <v>11</v>
      </c>
      <c r="O378" s="83" t="s">
        <v>12</v>
      </c>
      <c r="P378" s="83" t="s">
        <v>13</v>
      </c>
      <c r="Q378" s="12"/>
    </row>
    <row r="379" spans="1:17" ht="30" x14ac:dyDescent="0.3">
      <c r="A379" s="55"/>
      <c r="B379" s="7" t="s">
        <v>110</v>
      </c>
      <c r="C379" s="14" t="s">
        <v>19</v>
      </c>
      <c r="D379" s="13" t="s">
        <v>21</v>
      </c>
      <c r="E379" s="13" t="s">
        <v>20</v>
      </c>
      <c r="F379" s="8"/>
      <c r="G379" s="8"/>
      <c r="H379" s="8"/>
      <c r="I379" s="9"/>
      <c r="J379" s="10"/>
      <c r="K379" s="11"/>
      <c r="L379" s="10"/>
      <c r="M379" s="4"/>
      <c r="N379" s="4"/>
      <c r="O379" s="4"/>
      <c r="P379" s="4"/>
    </row>
    <row r="380" spans="1:17" ht="18.75" x14ac:dyDescent="0.3">
      <c r="A380" s="55"/>
      <c r="B380" s="12" t="s">
        <v>79</v>
      </c>
      <c r="C380" s="15">
        <v>130</v>
      </c>
      <c r="D380" s="15">
        <f>C380*0.25</f>
        <v>32.5</v>
      </c>
      <c r="E380" s="15">
        <f>C380-D380</f>
        <v>97.5</v>
      </c>
      <c r="F380" s="15">
        <f>E380*2%</f>
        <v>1.95</v>
      </c>
      <c r="G380" s="15">
        <f>E380*0.4%</f>
        <v>0.39</v>
      </c>
      <c r="H380" s="15">
        <f>E380*16.3%</f>
        <v>15.8925</v>
      </c>
      <c r="I380" s="15">
        <f>E380*80%</f>
        <v>78</v>
      </c>
      <c r="J380" s="15">
        <f>E380*0.12%</f>
        <v>0.11699999999999999</v>
      </c>
      <c r="K380" s="15">
        <f>E380*20%</f>
        <v>19.5</v>
      </c>
      <c r="L380" s="15">
        <v>0</v>
      </c>
      <c r="M380" s="15">
        <f>E380*10%</f>
        <v>9.75</v>
      </c>
      <c r="N380" s="15">
        <f>E380*58%</f>
        <v>56.55</v>
      </c>
      <c r="O380" s="15">
        <f>E380*23%</f>
        <v>22.425000000000001</v>
      </c>
      <c r="P380" s="15">
        <f>E380*0.9%</f>
        <v>0.87750000000000006</v>
      </c>
      <c r="Q380" s="15">
        <f>C380/1000*60</f>
        <v>7.8000000000000007</v>
      </c>
    </row>
    <row r="381" spans="1:17" ht="18.75" x14ac:dyDescent="0.3">
      <c r="A381" s="55"/>
      <c r="B381" s="12" t="s">
        <v>23</v>
      </c>
      <c r="C381" s="15">
        <v>5</v>
      </c>
      <c r="D381" s="15">
        <v>0</v>
      </c>
      <c r="E381" s="15">
        <f>C381-D381</f>
        <v>5</v>
      </c>
      <c r="F381" s="15">
        <f>E381*0.5%</f>
        <v>2.5000000000000001E-2</v>
      </c>
      <c r="G381" s="15">
        <f>E381*82.5%</f>
        <v>4.125</v>
      </c>
      <c r="H381" s="15">
        <f>E381*0.8%</f>
        <v>0.04</v>
      </c>
      <c r="I381" s="15">
        <f>E381*748%</f>
        <v>37.400000000000006</v>
      </c>
      <c r="J381" s="15">
        <v>0</v>
      </c>
      <c r="K381" s="15">
        <v>0</v>
      </c>
      <c r="L381" s="15">
        <f>E381*0.59%</f>
        <v>2.9499999999999998E-2</v>
      </c>
      <c r="M381" s="15">
        <f>E381*12%</f>
        <v>0.6</v>
      </c>
      <c r="N381" s="15">
        <f>E381*19%</f>
        <v>0.95</v>
      </c>
      <c r="O381" s="15">
        <f>E381*0.4%</f>
        <v>0.02</v>
      </c>
      <c r="P381" s="15">
        <f>E381*0.2%</f>
        <v>0.01</v>
      </c>
      <c r="Q381" s="36">
        <f>C381/1000*300</f>
        <v>1.5</v>
      </c>
    </row>
    <row r="382" spans="1:17" ht="37.5" x14ac:dyDescent="0.3">
      <c r="A382" s="55">
        <v>1</v>
      </c>
      <c r="B382" s="45" t="s">
        <v>91</v>
      </c>
      <c r="C382" s="19">
        <f t="shared" ref="C382:Q382" si="39">SUM(C380:C381)</f>
        <v>135</v>
      </c>
      <c r="D382" s="19">
        <f t="shared" si="39"/>
        <v>32.5</v>
      </c>
      <c r="E382" s="19">
        <f t="shared" si="39"/>
        <v>102.5</v>
      </c>
      <c r="F382" s="19">
        <f t="shared" si="39"/>
        <v>1.9749999999999999</v>
      </c>
      <c r="G382" s="19">
        <f t="shared" si="39"/>
        <v>4.5149999999999997</v>
      </c>
      <c r="H382" s="19">
        <f t="shared" si="39"/>
        <v>15.932499999999999</v>
      </c>
      <c r="I382" s="19">
        <f t="shared" si="39"/>
        <v>115.4</v>
      </c>
      <c r="J382" s="19">
        <f t="shared" si="39"/>
        <v>0.11699999999999999</v>
      </c>
      <c r="K382" s="19">
        <f t="shared" si="39"/>
        <v>19.5</v>
      </c>
      <c r="L382" s="19">
        <f t="shared" si="39"/>
        <v>2.9499999999999998E-2</v>
      </c>
      <c r="M382" s="19">
        <f t="shared" si="39"/>
        <v>10.35</v>
      </c>
      <c r="N382" s="19">
        <f t="shared" si="39"/>
        <v>57.5</v>
      </c>
      <c r="O382" s="19">
        <f t="shared" si="39"/>
        <v>22.445</v>
      </c>
      <c r="P382" s="19">
        <f t="shared" si="39"/>
        <v>0.88750000000000007</v>
      </c>
      <c r="Q382" s="36">
        <f t="shared" si="39"/>
        <v>9.3000000000000007</v>
      </c>
    </row>
    <row r="383" spans="1:17" ht="18.75" x14ac:dyDescent="0.3">
      <c r="A383" s="55"/>
      <c r="B383" s="5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</row>
    <row r="384" spans="1:17" ht="18.75" x14ac:dyDescent="0.3">
      <c r="A384" s="38"/>
      <c r="B384" s="12" t="s">
        <v>25</v>
      </c>
      <c r="C384" s="15">
        <v>60</v>
      </c>
      <c r="D384" s="15">
        <f>C384*0.25</f>
        <v>15</v>
      </c>
      <c r="E384" s="15">
        <f>SUM(C384-D384)</f>
        <v>45</v>
      </c>
      <c r="F384" s="15">
        <f>E384*18.6%</f>
        <v>8.370000000000001</v>
      </c>
      <c r="G384" s="15">
        <f>E384*16%</f>
        <v>7.2</v>
      </c>
      <c r="H384" s="15">
        <v>0</v>
      </c>
      <c r="I384" s="15">
        <f>E384*218%</f>
        <v>98.100000000000009</v>
      </c>
      <c r="J384" s="15">
        <f>E384*0.06%</f>
        <v>2.6999999999999996E-2</v>
      </c>
      <c r="K384" s="15">
        <v>0</v>
      </c>
      <c r="L384" s="15">
        <v>0</v>
      </c>
      <c r="M384" s="15">
        <f>E384*9%</f>
        <v>4.05</v>
      </c>
      <c r="N384" s="15">
        <f>E384*188%</f>
        <v>84.6</v>
      </c>
      <c r="O384" s="15">
        <f>E384*22%</f>
        <v>9.9</v>
      </c>
      <c r="P384" s="15">
        <f>E384*2.7%</f>
        <v>1.2150000000000001</v>
      </c>
      <c r="Q384" s="15">
        <f>C384/1000*600</f>
        <v>36</v>
      </c>
    </row>
    <row r="385" spans="1:17" ht="18.75" x14ac:dyDescent="0.3">
      <c r="A385" s="38"/>
      <c r="B385" s="12" t="s">
        <v>16</v>
      </c>
      <c r="C385" s="15">
        <v>25</v>
      </c>
      <c r="D385" s="15">
        <v>5</v>
      </c>
      <c r="E385" s="15">
        <f>C385-D385</f>
        <v>20</v>
      </c>
      <c r="F385" s="15">
        <f>E385*1.3%</f>
        <v>0.26</v>
      </c>
      <c r="G385" s="15">
        <f>E33*0.1%</f>
        <v>0.08</v>
      </c>
      <c r="H385" s="15">
        <f>E385*7.2%</f>
        <v>1.4400000000000002</v>
      </c>
      <c r="I385" s="15">
        <f>E385*30%</f>
        <v>6</v>
      </c>
      <c r="J385" s="15">
        <f>E385*0.06%</f>
        <v>1.1999999999999999E-2</v>
      </c>
      <c r="K385" s="15">
        <f>E385*5%</f>
        <v>1</v>
      </c>
      <c r="L385" s="15">
        <v>0</v>
      </c>
      <c r="M385" s="15">
        <f>E385*51%</f>
        <v>10.199999999999999</v>
      </c>
      <c r="N385" s="15">
        <f>E385*55%</f>
        <v>11</v>
      </c>
      <c r="O385" s="15">
        <f>E385*38%</f>
        <v>7.6</v>
      </c>
      <c r="P385" s="15">
        <f>E385*0.7%</f>
        <v>0.13999999999999999</v>
      </c>
      <c r="Q385" s="15">
        <f>C385/1000*60</f>
        <v>1.5</v>
      </c>
    </row>
    <row r="386" spans="1:17" ht="18.75" x14ac:dyDescent="0.3">
      <c r="A386" s="38"/>
      <c r="B386" s="12" t="s">
        <v>80</v>
      </c>
      <c r="C386" s="15">
        <v>25</v>
      </c>
      <c r="D386" s="15">
        <f>C386*0.16</f>
        <v>4</v>
      </c>
      <c r="E386" s="15">
        <f>C386-D386</f>
        <v>21</v>
      </c>
      <c r="F386" s="15">
        <f>E386*1.4%</f>
        <v>0.29399999999999998</v>
      </c>
      <c r="G386">
        <v>0</v>
      </c>
      <c r="H386" s="15">
        <f>E386*9.1%</f>
        <v>1.911</v>
      </c>
      <c r="I386" s="15">
        <f>E386*41%</f>
        <v>8.61</v>
      </c>
      <c r="J386" s="15">
        <f>E386*0.05%</f>
        <v>1.0500000000000001E-2</v>
      </c>
      <c r="K386" s="15">
        <f>E386*10%</f>
        <v>2.1</v>
      </c>
      <c r="L386" s="15">
        <v>0</v>
      </c>
      <c r="M386" s="15">
        <f>E386*31%</f>
        <v>6.51</v>
      </c>
      <c r="N386" s="15">
        <f>E386*58%</f>
        <v>12.18</v>
      </c>
      <c r="O386" s="15">
        <f>E386*14%</f>
        <v>2.9400000000000004</v>
      </c>
      <c r="P386" s="15">
        <f>E386*0.8%</f>
        <v>0.16800000000000001</v>
      </c>
      <c r="Q386" s="15">
        <f>C386/1000*40</f>
        <v>1</v>
      </c>
    </row>
    <row r="387" spans="1:17" ht="18.75" x14ac:dyDescent="0.3">
      <c r="A387" s="38"/>
      <c r="B387" s="12" t="s">
        <v>27</v>
      </c>
      <c r="C387" s="15">
        <v>5</v>
      </c>
      <c r="D387" s="15">
        <v>0</v>
      </c>
      <c r="E387" s="15">
        <f>SUM(C387:D387)</f>
        <v>5</v>
      </c>
      <c r="F387" s="15">
        <v>0</v>
      </c>
      <c r="G387" s="17">
        <f>E387*0.999</f>
        <v>4.9950000000000001</v>
      </c>
      <c r="H387" s="15">
        <v>0</v>
      </c>
      <c r="I387" s="15">
        <f>E387*8.99%</f>
        <v>0.44950000000000001</v>
      </c>
      <c r="J387" s="15">
        <f>E387*0.06%</f>
        <v>2.9999999999999996E-3</v>
      </c>
      <c r="K387" s="15">
        <v>0</v>
      </c>
      <c r="L387" s="15">
        <v>0</v>
      </c>
      <c r="M387" s="15">
        <v>0</v>
      </c>
      <c r="N387" s="15">
        <v>0</v>
      </c>
      <c r="O387" s="15">
        <v>0</v>
      </c>
      <c r="P387" s="15">
        <v>0</v>
      </c>
      <c r="Q387" s="15">
        <f>C387/1000*100</f>
        <v>0.5</v>
      </c>
    </row>
    <row r="388" spans="1:17" ht="18.75" x14ac:dyDescent="0.3">
      <c r="A388" s="51">
        <v>3</v>
      </c>
      <c r="B388" s="46" t="s">
        <v>100</v>
      </c>
      <c r="C388" s="19">
        <f t="shared" ref="C388:Q388" si="40">SUM(C384:C387)</f>
        <v>115</v>
      </c>
      <c r="D388" s="19">
        <f t="shared" si="40"/>
        <v>24</v>
      </c>
      <c r="E388" s="19">
        <f t="shared" si="40"/>
        <v>91</v>
      </c>
      <c r="F388" s="19">
        <f t="shared" si="40"/>
        <v>8.9240000000000013</v>
      </c>
      <c r="G388" s="19">
        <f t="shared" si="40"/>
        <v>12.275</v>
      </c>
      <c r="H388" s="19">
        <f t="shared" si="40"/>
        <v>3.351</v>
      </c>
      <c r="I388" s="19">
        <f t="shared" si="40"/>
        <v>113.15950000000001</v>
      </c>
      <c r="J388" s="19">
        <f t="shared" si="40"/>
        <v>5.2499999999999998E-2</v>
      </c>
      <c r="K388" s="19">
        <f t="shared" si="40"/>
        <v>3.1</v>
      </c>
      <c r="L388" s="19">
        <f t="shared" si="40"/>
        <v>0</v>
      </c>
      <c r="M388" s="19">
        <f t="shared" si="40"/>
        <v>20.759999999999998</v>
      </c>
      <c r="N388" s="19">
        <f t="shared" si="40"/>
        <v>107.78</v>
      </c>
      <c r="O388" s="19">
        <f t="shared" si="40"/>
        <v>20.440000000000001</v>
      </c>
      <c r="P388" s="19">
        <f t="shared" si="40"/>
        <v>1.5229999999999999</v>
      </c>
      <c r="Q388" s="19">
        <f t="shared" si="40"/>
        <v>39</v>
      </c>
    </row>
    <row r="389" spans="1:17" ht="18.75" x14ac:dyDescent="0.3">
      <c r="A389" s="51"/>
      <c r="B389" s="46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</row>
    <row r="390" spans="1:17" ht="18.75" x14ac:dyDescent="0.3">
      <c r="A390" s="55"/>
      <c r="B390" s="6" t="s">
        <v>16</v>
      </c>
      <c r="C390" s="15">
        <v>15</v>
      </c>
      <c r="D390" s="15">
        <f>C390*0.2</f>
        <v>3</v>
      </c>
      <c r="E390" s="15">
        <f>C390-D390</f>
        <v>12</v>
      </c>
      <c r="F390" s="15">
        <f>E390*1.3%</f>
        <v>0.15600000000000003</v>
      </c>
      <c r="G390" s="17">
        <f>E390*0.001</f>
        <v>1.2E-2</v>
      </c>
      <c r="H390" s="15">
        <f>E390*0.072</f>
        <v>0.86399999999999988</v>
      </c>
      <c r="I390" s="15">
        <f>E390*0.3</f>
        <v>3.5999999999999996</v>
      </c>
      <c r="J390" s="15">
        <f>E390*0.06%</f>
        <v>7.1999999999999998E-3</v>
      </c>
      <c r="K390" s="15">
        <f>E390*5%</f>
        <v>0.60000000000000009</v>
      </c>
      <c r="L390" s="15">
        <v>0</v>
      </c>
      <c r="M390" s="15">
        <f>E390*51%</f>
        <v>6.12</v>
      </c>
      <c r="N390" s="15">
        <f>E390*55%</f>
        <v>6.6000000000000005</v>
      </c>
      <c r="O390" s="15">
        <f>E390*38%</f>
        <v>4.5600000000000005</v>
      </c>
      <c r="P390" s="15">
        <f>E390*0.7%</f>
        <v>8.3999999999999991E-2</v>
      </c>
      <c r="Q390" s="12">
        <f>C390/1000*60</f>
        <v>0.89999999999999991</v>
      </c>
    </row>
    <row r="391" spans="1:17" ht="18.75" x14ac:dyDescent="0.3">
      <c r="A391" s="55"/>
      <c r="B391" s="6" t="s">
        <v>17</v>
      </c>
      <c r="C391" s="15">
        <v>25</v>
      </c>
      <c r="D391" s="15">
        <f>C391*0.2</f>
        <v>5</v>
      </c>
      <c r="E391" s="15">
        <f>C391-D391</f>
        <v>20</v>
      </c>
      <c r="F391" s="15">
        <f>E391*0.018</f>
        <v>0.36</v>
      </c>
      <c r="G391" s="17">
        <f>E391*0.001</f>
        <v>0.02</v>
      </c>
      <c r="H391" s="15">
        <f>E391*0.047</f>
        <v>0.94</v>
      </c>
      <c r="I391" s="15">
        <f>E391*0.27</f>
        <v>5.4</v>
      </c>
      <c r="J391" s="15">
        <f>E391*0.03%</f>
        <v>5.9999999999999993E-3</v>
      </c>
      <c r="K391" s="15">
        <f>E391*45%</f>
        <v>9</v>
      </c>
      <c r="L391" s="15">
        <v>0</v>
      </c>
      <c r="M391" s="15">
        <f>E391*48%</f>
        <v>9.6</v>
      </c>
      <c r="N391" s="15">
        <f>E391*31%</f>
        <v>6.2</v>
      </c>
      <c r="O391" s="15">
        <f>E391*16%</f>
        <v>3.2</v>
      </c>
      <c r="P391" s="15">
        <f>E391*0.6%</f>
        <v>0.12</v>
      </c>
      <c r="Q391" s="12">
        <f>C391/1000*30</f>
        <v>0.75</v>
      </c>
    </row>
    <row r="392" spans="1:17" ht="18.75" x14ac:dyDescent="0.3">
      <c r="A392" s="55"/>
      <c r="B392" s="6" t="s">
        <v>18</v>
      </c>
      <c r="C392" s="15">
        <v>5</v>
      </c>
      <c r="D392" s="15">
        <v>0</v>
      </c>
      <c r="E392" s="15">
        <v>5</v>
      </c>
      <c r="F392" s="15">
        <v>0</v>
      </c>
      <c r="G392" s="17">
        <f>E392*0.999</f>
        <v>4.9950000000000001</v>
      </c>
      <c r="H392" s="15">
        <v>0</v>
      </c>
      <c r="I392" s="15">
        <f>E392*8.99%</f>
        <v>0.44950000000000001</v>
      </c>
      <c r="J392" s="15">
        <f>E392*0.06%</f>
        <v>2.9999999999999996E-3</v>
      </c>
      <c r="K392" s="15">
        <v>0</v>
      </c>
      <c r="L392" s="15">
        <v>0</v>
      </c>
      <c r="M392" s="15">
        <v>0</v>
      </c>
      <c r="N392" s="15">
        <v>0</v>
      </c>
      <c r="O392" s="15">
        <v>0</v>
      </c>
      <c r="P392" s="15">
        <v>0</v>
      </c>
      <c r="Q392" s="12">
        <f>C392/1000*100</f>
        <v>0.5</v>
      </c>
    </row>
    <row r="393" spans="1:17" ht="18.75" x14ac:dyDescent="0.3">
      <c r="A393" s="55">
        <v>3</v>
      </c>
      <c r="B393" s="45" t="s">
        <v>15</v>
      </c>
      <c r="C393" s="16">
        <f>SUM(C390:C392)</f>
        <v>45</v>
      </c>
      <c r="D393" s="16">
        <f t="shared" ref="D393:P393" si="41">SUM(D390:D392)</f>
        <v>8</v>
      </c>
      <c r="E393" s="16">
        <f t="shared" si="41"/>
        <v>37</v>
      </c>
      <c r="F393" s="16">
        <f t="shared" si="41"/>
        <v>0.51600000000000001</v>
      </c>
      <c r="G393" s="16">
        <f t="shared" si="41"/>
        <v>5.0270000000000001</v>
      </c>
      <c r="H393" s="16">
        <f t="shared" si="41"/>
        <v>1.8039999999999998</v>
      </c>
      <c r="I393" s="16">
        <f t="shared" si="41"/>
        <v>9.4495000000000005</v>
      </c>
      <c r="J393" s="16">
        <f t="shared" si="41"/>
        <v>1.6199999999999999E-2</v>
      </c>
      <c r="K393" s="16">
        <f t="shared" si="41"/>
        <v>9.6</v>
      </c>
      <c r="L393" s="16">
        <f t="shared" si="41"/>
        <v>0</v>
      </c>
      <c r="M393" s="16">
        <f t="shared" si="41"/>
        <v>15.719999999999999</v>
      </c>
      <c r="N393" s="16">
        <f t="shared" si="41"/>
        <v>12.8</v>
      </c>
      <c r="O393" s="16">
        <f t="shared" si="41"/>
        <v>7.7600000000000007</v>
      </c>
      <c r="P393" s="16">
        <f t="shared" si="41"/>
        <v>0.20399999999999999</v>
      </c>
      <c r="Q393" s="16">
        <f>SUM(Q390:Q392)</f>
        <v>2.15</v>
      </c>
    </row>
    <row r="394" spans="1:17" ht="18.75" x14ac:dyDescent="0.3">
      <c r="A394" s="5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</row>
    <row r="395" spans="1:17" ht="18.75" x14ac:dyDescent="0.3">
      <c r="A395" s="55">
        <v>4</v>
      </c>
      <c r="B395" s="19" t="s">
        <v>58</v>
      </c>
      <c r="C395" s="19">
        <v>30</v>
      </c>
      <c r="D395" s="19">
        <v>0</v>
      </c>
      <c r="E395" s="19">
        <v>30</v>
      </c>
      <c r="F395" s="19">
        <f>E395*7.9%</f>
        <v>2.37</v>
      </c>
      <c r="G395" s="19">
        <f>E395*1%</f>
        <v>0.3</v>
      </c>
      <c r="H395" s="19">
        <f>E395*48.1%</f>
        <v>14.430000000000001</v>
      </c>
      <c r="I395" s="19">
        <f>E395*239%</f>
        <v>71.7</v>
      </c>
      <c r="J395" s="19">
        <f>E395*0.16%</f>
        <v>4.8000000000000001E-2</v>
      </c>
      <c r="K395" s="19">
        <v>0</v>
      </c>
      <c r="L395" s="19">
        <v>0</v>
      </c>
      <c r="M395" s="19">
        <f>E395*23%</f>
        <v>6.9</v>
      </c>
      <c r="N395" s="19">
        <f>E395*87%</f>
        <v>26.1</v>
      </c>
      <c r="O395" s="19">
        <f>E395*33%</f>
        <v>9.9</v>
      </c>
      <c r="P395" s="19">
        <f>E395*2%</f>
        <v>0.6</v>
      </c>
      <c r="Q395" s="19">
        <f>C395/1000*50</f>
        <v>1.5</v>
      </c>
    </row>
    <row r="396" spans="1:17" ht="18.75" x14ac:dyDescent="0.3">
      <c r="A396" s="5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</row>
    <row r="397" spans="1:17" ht="18.75" x14ac:dyDescent="0.3">
      <c r="A397" s="55"/>
      <c r="B397" s="15" t="s">
        <v>54</v>
      </c>
      <c r="C397" s="15">
        <v>6.0000000000000001E-3</v>
      </c>
      <c r="D397" s="15">
        <v>0</v>
      </c>
      <c r="E397" s="15">
        <f>C397-D397</f>
        <v>6.0000000000000001E-3</v>
      </c>
      <c r="F397" s="15">
        <f>E397*0%</f>
        <v>0</v>
      </c>
      <c r="G397" s="15">
        <v>0</v>
      </c>
      <c r="H397" s="15">
        <f>E397*0%</f>
        <v>0</v>
      </c>
      <c r="I397" s="15">
        <f>E397*0%</f>
        <v>0</v>
      </c>
      <c r="J397" s="15">
        <f>E397*0.1%</f>
        <v>6.0000000000000002E-6</v>
      </c>
      <c r="K397" s="15">
        <f>E397*0%</f>
        <v>0</v>
      </c>
      <c r="L397" s="15">
        <v>0</v>
      </c>
      <c r="M397" s="15">
        <f>E397*0%</f>
        <v>0</v>
      </c>
      <c r="N397" s="15">
        <f>E397*0%</f>
        <v>0</v>
      </c>
      <c r="O397" s="15">
        <f>E397*0%</f>
        <v>0</v>
      </c>
      <c r="P397" s="15">
        <f>E397*0%</f>
        <v>0</v>
      </c>
      <c r="Q397" s="15">
        <f>C397/1000*1100</f>
        <v>6.6E-3</v>
      </c>
    </row>
    <row r="398" spans="1:17" ht="18.75" x14ac:dyDescent="0.3">
      <c r="A398" s="55"/>
      <c r="B398" s="15" t="s">
        <v>71</v>
      </c>
      <c r="C398" s="15">
        <v>10</v>
      </c>
      <c r="D398" s="15">
        <v>0</v>
      </c>
      <c r="E398" s="15">
        <v>15</v>
      </c>
      <c r="F398" s="15">
        <v>0</v>
      </c>
      <c r="G398" s="15">
        <v>0</v>
      </c>
      <c r="H398" s="15">
        <f>E398*99.8%</f>
        <v>14.97</v>
      </c>
      <c r="I398" s="15">
        <f>E398*379%</f>
        <v>56.85</v>
      </c>
      <c r="J398" s="15">
        <v>0</v>
      </c>
      <c r="K398" s="15">
        <v>0</v>
      </c>
      <c r="L398" s="15">
        <v>0</v>
      </c>
      <c r="M398" s="15">
        <f>E398*2%</f>
        <v>0.3</v>
      </c>
      <c r="N398" s="15">
        <v>0</v>
      </c>
      <c r="O398" s="15">
        <v>0</v>
      </c>
      <c r="P398" s="15">
        <f>E398*0.3%</f>
        <v>4.4999999999999998E-2</v>
      </c>
      <c r="Q398" s="15">
        <f>C398/1000*60</f>
        <v>0.6</v>
      </c>
    </row>
    <row r="399" spans="1:17" ht="18.75" x14ac:dyDescent="0.3">
      <c r="A399" s="55">
        <v>5</v>
      </c>
      <c r="B399" s="46" t="s">
        <v>54</v>
      </c>
      <c r="C399" s="19">
        <f>C398+C397</f>
        <v>10.006</v>
      </c>
      <c r="D399" s="19">
        <f t="shared" ref="D399" si="42">SUM(D397:D398)</f>
        <v>0</v>
      </c>
      <c r="E399" s="19">
        <v>150</v>
      </c>
      <c r="F399" s="19">
        <f t="shared" ref="F399:P399" si="43">SUM(F397:F398)</f>
        <v>0</v>
      </c>
      <c r="G399" s="19">
        <f t="shared" si="43"/>
        <v>0</v>
      </c>
      <c r="H399" s="19">
        <f t="shared" si="43"/>
        <v>14.97</v>
      </c>
      <c r="I399" s="19">
        <f t="shared" si="43"/>
        <v>56.85</v>
      </c>
      <c r="J399" s="19">
        <f t="shared" si="43"/>
        <v>6.0000000000000002E-6</v>
      </c>
      <c r="K399" s="19">
        <f t="shared" si="43"/>
        <v>0</v>
      </c>
      <c r="L399" s="19">
        <f t="shared" si="43"/>
        <v>0</v>
      </c>
      <c r="M399" s="19">
        <f t="shared" si="43"/>
        <v>0.3</v>
      </c>
      <c r="N399" s="19">
        <f t="shared" si="43"/>
        <v>0</v>
      </c>
      <c r="O399" s="19">
        <f t="shared" si="43"/>
        <v>0</v>
      </c>
      <c r="P399" s="19">
        <f t="shared" si="43"/>
        <v>4.4999999999999998E-2</v>
      </c>
      <c r="Q399" s="19">
        <f>SUM(Q397:Q398)</f>
        <v>0.60660000000000003</v>
      </c>
    </row>
    <row r="400" spans="1:17" ht="18.75" x14ac:dyDescent="0.3">
      <c r="A400" s="55"/>
      <c r="B400" s="47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</row>
    <row r="401" spans="1:17" ht="18.75" x14ac:dyDescent="0.3">
      <c r="A401" s="55">
        <v>6</v>
      </c>
      <c r="B401" s="46" t="s">
        <v>89</v>
      </c>
      <c r="C401" s="19">
        <v>70</v>
      </c>
      <c r="D401" s="19">
        <v>0</v>
      </c>
      <c r="E401" s="19">
        <f>C401-D401</f>
        <v>70</v>
      </c>
      <c r="F401" s="19">
        <f>E401*0.8%</f>
        <v>0.56000000000000005</v>
      </c>
      <c r="G401" s="19">
        <f>E401*0.3%</f>
        <v>0.21</v>
      </c>
      <c r="H401" s="19" t="s">
        <v>112</v>
      </c>
      <c r="I401" s="19">
        <f>E401*40%</f>
        <v>28</v>
      </c>
      <c r="J401" s="19">
        <f>E401*0.06%</f>
        <v>4.1999999999999996E-2</v>
      </c>
      <c r="K401" s="19">
        <f>E401*38%</f>
        <v>26.6</v>
      </c>
      <c r="L401" s="19">
        <v>0</v>
      </c>
      <c r="M401" s="19">
        <f>E401*35%</f>
        <v>24.5</v>
      </c>
      <c r="N401" s="19">
        <f>E401*17%</f>
        <v>11.9</v>
      </c>
      <c r="O401" s="19">
        <f>E401*35%</f>
        <v>24.5</v>
      </c>
      <c r="P401" s="19">
        <f>E401*0.1%</f>
        <v>7.0000000000000007E-2</v>
      </c>
      <c r="Q401" s="19">
        <f>C401/1000*120</f>
        <v>8.4</v>
      </c>
    </row>
    <row r="402" spans="1:17" ht="18.75" x14ac:dyDescent="0.3">
      <c r="A402" s="55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</row>
    <row r="403" spans="1:17" ht="18.75" x14ac:dyDescent="0.3">
      <c r="A403" s="55">
        <v>7</v>
      </c>
      <c r="B403" s="46" t="s">
        <v>82</v>
      </c>
      <c r="C403" s="39">
        <v>3</v>
      </c>
      <c r="D403" s="19">
        <v>0</v>
      </c>
      <c r="E403" s="39">
        <f>C403-D403</f>
        <v>3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39">
        <f>C403/1000*20</f>
        <v>0.06</v>
      </c>
    </row>
    <row r="404" spans="1:17" ht="18.75" x14ac:dyDescent="0.3">
      <c r="A404" s="5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</row>
    <row r="405" spans="1:17" ht="23.25" x14ac:dyDescent="0.35">
      <c r="A405" s="55"/>
      <c r="B405" s="37" t="s">
        <v>73</v>
      </c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>
        <f>Q403+Q401+Q399+Q395+Q393+Q388+Q382</f>
        <v>61.016599999999997</v>
      </c>
    </row>
    <row r="415" spans="1:17" ht="23.25" customHeight="1" x14ac:dyDescent="0.25"/>
    <row r="417" spans="1:17" ht="23.25" x14ac:dyDescent="0.35">
      <c r="A417" s="60"/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</row>
  </sheetData>
  <mergeCells count="121">
    <mergeCell ref="M41:P41"/>
    <mergeCell ref="J143:L143"/>
    <mergeCell ref="H6:H8"/>
    <mergeCell ref="I6:I8"/>
    <mergeCell ref="J7:J8"/>
    <mergeCell ref="K7:K8"/>
    <mergeCell ref="A10:Q10"/>
    <mergeCell ref="A26:Q26"/>
    <mergeCell ref="A28:Q28"/>
    <mergeCell ref="A32:Q32"/>
    <mergeCell ref="A34:Q34"/>
    <mergeCell ref="B109:B110"/>
    <mergeCell ref="C109:C110"/>
    <mergeCell ref="F109:F110"/>
    <mergeCell ref="G109:G110"/>
    <mergeCell ref="H109:H110"/>
    <mergeCell ref="I109:I110"/>
    <mergeCell ref="B41:B42"/>
    <mergeCell ref="C41:C42"/>
    <mergeCell ref="B143:B144"/>
    <mergeCell ref="J271:L271"/>
    <mergeCell ref="L7:L8"/>
    <mergeCell ref="M7:M8"/>
    <mergeCell ref="N7:N8"/>
    <mergeCell ref="A6:A7"/>
    <mergeCell ref="B6:B7"/>
    <mergeCell ref="A11:A14"/>
    <mergeCell ref="A16:A18"/>
    <mergeCell ref="A20:A25"/>
    <mergeCell ref="A29:A31"/>
    <mergeCell ref="A15:Q15"/>
    <mergeCell ref="A19:Q19"/>
    <mergeCell ref="J6:L6"/>
    <mergeCell ref="M6:P6"/>
    <mergeCell ref="D6:D8"/>
    <mergeCell ref="E6:E8"/>
    <mergeCell ref="C6:C8"/>
    <mergeCell ref="F6:F8"/>
    <mergeCell ref="G6:G8"/>
    <mergeCell ref="I208:I209"/>
    <mergeCell ref="M176:P176"/>
    <mergeCell ref="H78:H79"/>
    <mergeCell ref="I41:I42"/>
    <mergeCell ref="J41:L41"/>
    <mergeCell ref="J208:L208"/>
    <mergeCell ref="M208:P208"/>
    <mergeCell ref="M78:P78"/>
    <mergeCell ref="I78:I79"/>
    <mergeCell ref="A4:Q4"/>
    <mergeCell ref="O7:O8"/>
    <mergeCell ref="P7:P8"/>
    <mergeCell ref="Q6:Q8"/>
    <mergeCell ref="J242:L242"/>
    <mergeCell ref="H176:H177"/>
    <mergeCell ref="I242:I243"/>
    <mergeCell ref="J109:L109"/>
    <mergeCell ref="M109:P109"/>
    <mergeCell ref="G41:G42"/>
    <mergeCell ref="H41:H42"/>
    <mergeCell ref="J176:L176"/>
    <mergeCell ref="I176:I177"/>
    <mergeCell ref="H242:H243"/>
    <mergeCell ref="H143:H144"/>
    <mergeCell ref="I143:I144"/>
    <mergeCell ref="C143:C144"/>
    <mergeCell ref="F41:F42"/>
    <mergeCell ref="M143:P143"/>
    <mergeCell ref="J78:L78"/>
    <mergeCell ref="B78:B79"/>
    <mergeCell ref="C78:C79"/>
    <mergeCell ref="F78:F79"/>
    <mergeCell ref="G78:G79"/>
    <mergeCell ref="B208:B209"/>
    <mergeCell ref="B242:B243"/>
    <mergeCell ref="C242:C243"/>
    <mergeCell ref="F242:F243"/>
    <mergeCell ref="G242:G243"/>
    <mergeCell ref="G143:G144"/>
    <mergeCell ref="B176:B177"/>
    <mergeCell ref="C176:C177"/>
    <mergeCell ref="F176:F177"/>
    <mergeCell ref="G176:G177"/>
    <mergeCell ref="F143:F144"/>
    <mergeCell ref="A305:A306"/>
    <mergeCell ref="B305:B306"/>
    <mergeCell ref="C305:C306"/>
    <mergeCell ref="F305:F306"/>
    <mergeCell ref="G305:G306"/>
    <mergeCell ref="H305:H306"/>
    <mergeCell ref="I305:I306"/>
    <mergeCell ref="A271:A272"/>
    <mergeCell ref="B271:B272"/>
    <mergeCell ref="C271:C272"/>
    <mergeCell ref="H271:H272"/>
    <mergeCell ref="I271:I272"/>
    <mergeCell ref="F271:F272"/>
    <mergeCell ref="G271:G272"/>
    <mergeCell ref="B377:B378"/>
    <mergeCell ref="C377:C378"/>
    <mergeCell ref="F377:F378"/>
    <mergeCell ref="G377:G378"/>
    <mergeCell ref="H377:H378"/>
    <mergeCell ref="I377:I378"/>
    <mergeCell ref="J377:L377"/>
    <mergeCell ref="M377:P377"/>
    <mergeCell ref="F208:F209"/>
    <mergeCell ref="G208:G209"/>
    <mergeCell ref="H208:H209"/>
    <mergeCell ref="M242:P242"/>
    <mergeCell ref="B342:B343"/>
    <mergeCell ref="C342:C343"/>
    <mergeCell ref="F342:F343"/>
    <mergeCell ref="G342:G343"/>
    <mergeCell ref="H342:H343"/>
    <mergeCell ref="I342:I343"/>
    <mergeCell ref="J342:L342"/>
    <mergeCell ref="M342:P342"/>
    <mergeCell ref="M271:P271"/>
    <mergeCell ref="C208:C209"/>
    <mergeCell ref="J305:L305"/>
    <mergeCell ref="M305:P305"/>
  </mergeCells>
  <phoneticPr fontId="23" type="noConversion"/>
  <pageMargins left="0" right="0" top="0" bottom="0" header="0" footer="0"/>
  <pageSetup paperSize="258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selection activeCell="X21" sqref="X21"/>
    </sheetView>
  </sheetViews>
  <sheetFormatPr defaultRowHeight="15" x14ac:dyDescent="0.25"/>
  <cols>
    <col min="1" max="1" width="16.28515625" customWidth="1"/>
    <col min="2" max="22" width="6.140625" customWidth="1"/>
    <col min="23" max="23" width="7.140625" customWidth="1"/>
    <col min="24" max="26" width="6.140625" customWidth="1"/>
  </cols>
  <sheetData>
    <row r="1" spans="1:26" ht="15.75" thickBot="1" x14ac:dyDescent="0.3">
      <c r="A1" s="20" t="s">
        <v>29</v>
      </c>
      <c r="B1" s="21">
        <v>358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3"/>
      <c r="Z1" s="23"/>
    </row>
    <row r="2" spans="1:26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3"/>
      <c r="Z2" s="23" t="s">
        <v>30</v>
      </c>
    </row>
    <row r="3" spans="1:26" ht="55.5" x14ac:dyDescent="0.25">
      <c r="A3" s="24" t="s">
        <v>31</v>
      </c>
      <c r="B3" s="25" t="s">
        <v>32</v>
      </c>
      <c r="C3" s="25" t="s">
        <v>33</v>
      </c>
      <c r="D3" s="25" t="s">
        <v>34</v>
      </c>
      <c r="E3" s="25" t="s">
        <v>35</v>
      </c>
      <c r="F3" s="25" t="s">
        <v>36</v>
      </c>
      <c r="G3" s="25" t="s">
        <v>37</v>
      </c>
      <c r="H3" s="25" t="s">
        <v>38</v>
      </c>
      <c r="I3" s="25" t="s">
        <v>39</v>
      </c>
      <c r="J3" s="25" t="s">
        <v>40</v>
      </c>
      <c r="K3" s="25" t="s">
        <v>41</v>
      </c>
      <c r="L3" s="25" t="s">
        <v>42</v>
      </c>
      <c r="M3" s="25" t="s">
        <v>43</v>
      </c>
      <c r="N3" s="25" t="s">
        <v>44</v>
      </c>
      <c r="O3" s="25" t="s">
        <v>45</v>
      </c>
      <c r="P3" s="25" t="s">
        <v>46</v>
      </c>
      <c r="Q3" s="25" t="s">
        <v>47</v>
      </c>
      <c r="R3" s="25" t="s">
        <v>48</v>
      </c>
      <c r="S3" s="25" t="s">
        <v>49</v>
      </c>
      <c r="T3" s="25" t="s">
        <v>50</v>
      </c>
      <c r="U3" s="25" t="s">
        <v>51</v>
      </c>
      <c r="V3" s="25" t="s">
        <v>52</v>
      </c>
      <c r="W3" s="25" t="s">
        <v>53</v>
      </c>
      <c r="X3" s="26" t="s">
        <v>54</v>
      </c>
      <c r="Y3" s="26" t="s">
        <v>55</v>
      </c>
      <c r="Z3" s="26"/>
    </row>
    <row r="4" spans="1:26" x14ac:dyDescent="0.25">
      <c r="A4" s="27" t="s">
        <v>56</v>
      </c>
      <c r="B4" s="28"/>
      <c r="C4" s="28">
        <v>1E-3</v>
      </c>
      <c r="D4" s="28"/>
      <c r="E4" s="28"/>
      <c r="F4" s="28"/>
      <c r="G4" s="28"/>
      <c r="H4" s="28"/>
      <c r="I4" s="28">
        <v>0.05</v>
      </c>
      <c r="J4" s="28"/>
      <c r="K4" s="29"/>
      <c r="L4" s="29">
        <v>8.0000000000000002E-3</v>
      </c>
      <c r="M4" s="29"/>
      <c r="N4" s="29"/>
      <c r="O4" s="29"/>
      <c r="P4" s="29"/>
      <c r="Q4" s="29"/>
      <c r="R4" s="29">
        <v>5.0000000000000001E-3</v>
      </c>
      <c r="S4" s="29"/>
      <c r="T4" s="28"/>
      <c r="U4" s="28"/>
      <c r="V4" s="28"/>
      <c r="W4" s="28"/>
      <c r="X4" s="28"/>
      <c r="Y4" s="28"/>
      <c r="Z4" s="28"/>
    </row>
    <row r="5" spans="1:26" x14ac:dyDescent="0.25">
      <c r="A5" s="27" t="s">
        <v>57</v>
      </c>
      <c r="B5" s="28"/>
      <c r="C5" s="28">
        <v>1E-3</v>
      </c>
      <c r="D5" s="28"/>
      <c r="E5" s="28">
        <v>0.04</v>
      </c>
      <c r="F5" s="28">
        <v>1.4999999999999999E-2</v>
      </c>
      <c r="G5" s="28">
        <v>0.02</v>
      </c>
      <c r="H5" s="28"/>
      <c r="I5" s="28"/>
      <c r="J5" s="28"/>
      <c r="K5" s="29"/>
      <c r="L5" s="29"/>
      <c r="M5" s="29"/>
      <c r="N5" s="29"/>
      <c r="O5" s="29"/>
      <c r="P5" s="29"/>
      <c r="Q5" s="29"/>
      <c r="R5" s="29"/>
      <c r="S5" s="29">
        <v>0.01</v>
      </c>
      <c r="T5" s="28"/>
      <c r="U5" s="28"/>
      <c r="V5" s="28"/>
      <c r="W5" s="28"/>
      <c r="X5" s="28"/>
      <c r="Y5" s="28">
        <v>0.03</v>
      </c>
      <c r="Z5" s="28"/>
    </row>
    <row r="6" spans="1:26" x14ac:dyDescent="0.25">
      <c r="A6" s="27" t="s">
        <v>58</v>
      </c>
      <c r="B6" s="28">
        <v>0.05</v>
      </c>
      <c r="C6" s="28"/>
      <c r="D6" s="28"/>
      <c r="E6" s="28"/>
      <c r="F6" s="28"/>
      <c r="G6" s="28"/>
      <c r="H6" s="28"/>
      <c r="I6" s="28"/>
      <c r="J6" s="28"/>
      <c r="K6" s="29"/>
      <c r="L6" s="29"/>
      <c r="M6" s="29"/>
      <c r="N6" s="29"/>
      <c r="O6" s="29"/>
      <c r="P6" s="29"/>
      <c r="Q6" s="29"/>
      <c r="R6" s="29"/>
      <c r="S6" s="29"/>
      <c r="T6" s="28"/>
      <c r="U6" s="28"/>
      <c r="V6" s="28"/>
      <c r="W6" s="28"/>
      <c r="X6" s="28"/>
      <c r="Y6" s="28"/>
      <c r="Z6" s="28"/>
    </row>
    <row r="7" spans="1:26" x14ac:dyDescent="0.25">
      <c r="A7" s="27" t="s">
        <v>59</v>
      </c>
      <c r="B7" s="28"/>
      <c r="C7" s="28"/>
      <c r="D7" s="28"/>
      <c r="E7" s="28"/>
      <c r="F7" s="28"/>
      <c r="G7" s="28"/>
      <c r="H7" s="28"/>
      <c r="I7" s="28"/>
      <c r="J7" s="28"/>
      <c r="K7" s="29"/>
      <c r="L7" s="29"/>
      <c r="M7" s="29"/>
      <c r="N7" s="29"/>
      <c r="O7" s="29"/>
      <c r="P7" s="29"/>
      <c r="Q7" s="29"/>
      <c r="R7" s="29"/>
      <c r="S7" s="29"/>
      <c r="T7" s="28">
        <v>1.4999999999999999E-2</v>
      </c>
      <c r="U7" s="28">
        <v>0.01</v>
      </c>
      <c r="V7" s="28"/>
      <c r="W7" s="28"/>
      <c r="X7" s="28"/>
      <c r="Y7" s="28"/>
      <c r="Z7" s="28"/>
    </row>
    <row r="8" spans="1:26" x14ac:dyDescent="0.25">
      <c r="A8" s="27" t="s">
        <v>60</v>
      </c>
      <c r="B8" s="28"/>
      <c r="C8" s="28"/>
      <c r="D8" s="28"/>
      <c r="E8" s="28"/>
      <c r="F8" s="28"/>
      <c r="G8" s="28"/>
      <c r="H8" s="28"/>
      <c r="I8" s="28"/>
      <c r="J8" s="28"/>
      <c r="K8" s="29"/>
      <c r="L8" s="29"/>
      <c r="M8" s="29"/>
      <c r="N8" s="29"/>
      <c r="O8" s="29"/>
      <c r="P8" s="29"/>
      <c r="Q8" s="29"/>
      <c r="R8" s="29"/>
      <c r="S8" s="29"/>
      <c r="T8" s="28"/>
      <c r="U8" s="28"/>
      <c r="V8" s="28"/>
      <c r="W8" s="28">
        <v>0.1</v>
      </c>
      <c r="X8" s="28"/>
      <c r="Y8" s="28"/>
      <c r="Z8" s="28"/>
    </row>
    <row r="9" spans="1:26" x14ac:dyDescent="0.25">
      <c r="A9" s="27" t="s">
        <v>61</v>
      </c>
      <c r="B9" s="28"/>
      <c r="C9" s="28">
        <v>1E-3</v>
      </c>
      <c r="D9" s="28">
        <v>0.1</v>
      </c>
      <c r="E9" s="28"/>
      <c r="F9" s="28"/>
      <c r="G9" s="28"/>
      <c r="H9" s="28"/>
      <c r="I9" s="28"/>
      <c r="J9" s="28"/>
      <c r="K9" s="29"/>
      <c r="L9" s="29"/>
      <c r="M9" s="29"/>
      <c r="N9" s="29"/>
      <c r="O9" s="29"/>
      <c r="P9" s="29"/>
      <c r="Q9" s="29"/>
      <c r="R9" s="29"/>
      <c r="S9" s="29"/>
      <c r="T9" s="28"/>
      <c r="U9" s="28"/>
      <c r="V9" s="28"/>
      <c r="W9" s="28"/>
      <c r="X9" s="28"/>
      <c r="Y9" s="28"/>
      <c r="Z9" s="28"/>
    </row>
    <row r="10" spans="1:26" x14ac:dyDescent="0.25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9"/>
      <c r="L10" s="29"/>
      <c r="M10" s="29"/>
      <c r="N10" s="29"/>
      <c r="O10" s="29"/>
      <c r="P10" s="29"/>
      <c r="Q10" s="29"/>
      <c r="R10" s="29"/>
      <c r="S10" s="29"/>
      <c r="T10" s="28"/>
      <c r="U10" s="28" t="s">
        <v>62</v>
      </c>
      <c r="V10" s="28"/>
      <c r="W10" s="28"/>
      <c r="X10" s="28"/>
      <c r="Y10" s="28"/>
      <c r="Z10" s="28"/>
    </row>
    <row r="11" spans="1:26" x14ac:dyDescent="0.25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9"/>
      <c r="L11" s="29"/>
      <c r="M11" s="29"/>
      <c r="N11" s="29"/>
      <c r="O11" s="29"/>
      <c r="P11" s="29"/>
      <c r="Q11" s="29"/>
      <c r="R11" s="29"/>
      <c r="S11" s="29"/>
      <c r="T11" s="28"/>
      <c r="U11" s="28"/>
      <c r="V11" s="28"/>
      <c r="W11" s="28"/>
      <c r="X11" s="28"/>
      <c r="Y11" s="28"/>
      <c r="Z11" s="28"/>
    </row>
    <row r="12" spans="1:26" x14ac:dyDescent="0.25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9"/>
      <c r="L12" s="29"/>
      <c r="M12" s="29"/>
      <c r="N12" s="29"/>
      <c r="O12" s="29"/>
      <c r="P12" s="29"/>
      <c r="Q12" s="29"/>
      <c r="R12" s="29"/>
      <c r="S12" s="29"/>
      <c r="T12" s="28"/>
      <c r="U12" s="28"/>
      <c r="V12" s="28"/>
      <c r="W12" s="28"/>
      <c r="X12" s="28"/>
      <c r="Y12" s="28"/>
      <c r="Z12" s="28"/>
    </row>
    <row r="13" spans="1:26" x14ac:dyDescent="0.25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9"/>
      <c r="L13" s="29"/>
      <c r="M13" s="29"/>
      <c r="N13" s="29"/>
      <c r="O13" s="29"/>
      <c r="P13" s="29"/>
      <c r="Q13" s="29"/>
      <c r="R13" s="29"/>
      <c r="S13" s="29"/>
      <c r="T13" s="28"/>
      <c r="U13" s="28"/>
      <c r="V13" s="28"/>
      <c r="W13" s="28"/>
      <c r="X13" s="28"/>
      <c r="Y13" s="28"/>
      <c r="Z13" s="28"/>
    </row>
    <row r="14" spans="1:26" x14ac:dyDescent="0.25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9"/>
      <c r="L14" s="29"/>
      <c r="M14" s="29"/>
      <c r="N14" s="29"/>
      <c r="O14" s="29"/>
      <c r="P14" s="29"/>
      <c r="Q14" s="29"/>
      <c r="R14" s="29"/>
      <c r="S14" s="29"/>
      <c r="T14" s="28"/>
      <c r="U14" s="28"/>
      <c r="V14" s="28"/>
      <c r="W14" s="28"/>
      <c r="X14" s="28"/>
      <c r="Y14" s="28"/>
      <c r="Z14" s="28"/>
    </row>
    <row r="15" spans="1:26" x14ac:dyDescent="0.25">
      <c r="A15" s="27"/>
      <c r="C15" s="28"/>
      <c r="D15" s="28"/>
      <c r="E15" s="28"/>
      <c r="F15" s="28"/>
      <c r="G15" s="28"/>
      <c r="H15" s="28"/>
      <c r="I15" s="28"/>
      <c r="J15" s="28"/>
      <c r="K15" s="29"/>
      <c r="L15" s="29"/>
      <c r="M15" s="29"/>
      <c r="N15" s="29"/>
      <c r="O15" s="29"/>
      <c r="P15" s="29"/>
      <c r="Q15" s="29"/>
      <c r="R15" s="29"/>
      <c r="S15" s="29"/>
      <c r="T15" s="28"/>
      <c r="U15" s="28"/>
      <c r="V15" s="28"/>
      <c r="W15" s="28"/>
      <c r="X15" s="28"/>
      <c r="Y15" s="28"/>
      <c r="Z15" s="28"/>
    </row>
    <row r="16" spans="1:26" x14ac:dyDescent="0.25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9"/>
      <c r="L16" s="29"/>
      <c r="M16" s="29"/>
      <c r="N16" s="29"/>
      <c r="O16" s="29"/>
      <c r="P16" s="29"/>
      <c r="Q16" s="29"/>
      <c r="R16" s="29"/>
      <c r="S16" s="29"/>
      <c r="T16" s="28"/>
      <c r="U16" s="28"/>
      <c r="V16" s="28"/>
      <c r="W16" s="28"/>
      <c r="X16" s="28"/>
      <c r="Y16" s="28"/>
      <c r="Z16" s="28"/>
    </row>
    <row r="17" spans="1:26" x14ac:dyDescent="0.25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9"/>
      <c r="L17" s="29"/>
      <c r="M17" s="29"/>
      <c r="N17" s="29"/>
      <c r="O17" s="29"/>
      <c r="P17" s="29"/>
      <c r="Q17" s="29"/>
      <c r="R17" s="29"/>
      <c r="S17" s="29"/>
      <c r="T17" s="28"/>
      <c r="U17" s="28"/>
      <c r="V17" s="28"/>
      <c r="W17" s="28"/>
      <c r="X17" s="28"/>
      <c r="Y17" s="28"/>
      <c r="Z17" s="28"/>
    </row>
    <row r="18" spans="1:26" x14ac:dyDescent="0.25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9"/>
      <c r="L18" s="29"/>
      <c r="M18" s="29"/>
      <c r="N18" s="29"/>
      <c r="O18" s="29"/>
      <c r="P18" s="29"/>
      <c r="Q18" s="29"/>
      <c r="R18" s="29"/>
      <c r="S18" s="29"/>
      <c r="T18" s="28"/>
      <c r="U18" s="28"/>
      <c r="V18" s="28"/>
      <c r="W18" s="28"/>
      <c r="X18" s="28"/>
      <c r="Y18" s="28"/>
      <c r="Z18" s="28"/>
    </row>
    <row r="19" spans="1:26" x14ac:dyDescent="0.25">
      <c r="A19" s="27" t="s">
        <v>63</v>
      </c>
      <c r="B19" s="30">
        <f>SUM(B4:B18)</f>
        <v>0.05</v>
      </c>
      <c r="C19" s="30">
        <f t="shared" ref="C19:X19" si="0">SUM(C4:C18)</f>
        <v>3.0000000000000001E-3</v>
      </c>
      <c r="D19" s="30">
        <f t="shared" si="0"/>
        <v>0.1</v>
      </c>
      <c r="E19" s="30">
        <f t="shared" si="0"/>
        <v>0.04</v>
      </c>
      <c r="F19" s="30">
        <f t="shared" si="0"/>
        <v>1.4999999999999999E-2</v>
      </c>
      <c r="G19" s="30">
        <f t="shared" si="0"/>
        <v>0.02</v>
      </c>
      <c r="H19" s="30">
        <f t="shared" si="0"/>
        <v>0</v>
      </c>
      <c r="I19" s="30">
        <f t="shared" si="0"/>
        <v>0.05</v>
      </c>
      <c r="J19" s="30">
        <f t="shared" si="0"/>
        <v>0</v>
      </c>
      <c r="K19" s="30">
        <f t="shared" si="0"/>
        <v>0</v>
      </c>
      <c r="L19" s="30">
        <f t="shared" si="0"/>
        <v>8.0000000000000002E-3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5.0000000000000001E-3</v>
      </c>
      <c r="S19" s="30">
        <f t="shared" si="0"/>
        <v>0.01</v>
      </c>
      <c r="T19" s="30">
        <f t="shared" si="0"/>
        <v>1.4999999999999999E-2</v>
      </c>
      <c r="U19" s="30">
        <f t="shared" si="0"/>
        <v>0.01</v>
      </c>
      <c r="V19" s="30">
        <f t="shared" si="0"/>
        <v>0</v>
      </c>
      <c r="W19" s="30">
        <f t="shared" si="0"/>
        <v>0.1</v>
      </c>
      <c r="X19" s="30">
        <f t="shared" si="0"/>
        <v>0</v>
      </c>
      <c r="Y19" s="30">
        <v>0.04</v>
      </c>
      <c r="Z19" s="30"/>
    </row>
    <row r="20" spans="1:26" x14ac:dyDescent="0.25">
      <c r="A20" s="27" t="s">
        <v>64</v>
      </c>
      <c r="B20" s="31">
        <f>B1*B19</f>
        <v>17.900000000000002</v>
      </c>
      <c r="C20" s="31">
        <f>C19*B1</f>
        <v>1.0740000000000001</v>
      </c>
      <c r="D20" s="31">
        <f>D19*B1</f>
        <v>35.800000000000004</v>
      </c>
      <c r="E20" s="31">
        <f>B1*E19</f>
        <v>14.32</v>
      </c>
      <c r="F20" s="31">
        <f>F19*B1</f>
        <v>5.37</v>
      </c>
      <c r="G20" s="31">
        <f>B1*G19</f>
        <v>7.16</v>
      </c>
      <c r="H20" s="31">
        <f>B1*H19</f>
        <v>0</v>
      </c>
      <c r="I20" s="31">
        <f>B1*I19</f>
        <v>17.900000000000002</v>
      </c>
      <c r="J20" s="31">
        <f>B1*J19</f>
        <v>0</v>
      </c>
      <c r="K20" s="31">
        <f>B1*K19</f>
        <v>0</v>
      </c>
      <c r="L20" s="31">
        <f>B1*L19</f>
        <v>2.8639999999999999</v>
      </c>
      <c r="M20" s="31">
        <f>B1*M19</f>
        <v>0</v>
      </c>
      <c r="N20" s="31">
        <f>B1*N19</f>
        <v>0</v>
      </c>
      <c r="O20" s="31">
        <f>B1*O19</f>
        <v>0</v>
      </c>
      <c r="P20" s="31">
        <f>B1*P19</f>
        <v>0</v>
      </c>
      <c r="Q20" s="31">
        <f>B1*Q19</f>
        <v>0</v>
      </c>
      <c r="R20" s="31">
        <f>B1*R19</f>
        <v>1.79</v>
      </c>
      <c r="S20" s="31">
        <f>B1*S19</f>
        <v>3.58</v>
      </c>
      <c r="T20" s="31">
        <f>B1*T19</f>
        <v>5.37</v>
      </c>
      <c r="U20" s="31">
        <f>B1*U19</f>
        <v>3.58</v>
      </c>
      <c r="V20" s="31">
        <f>B1*V19</f>
        <v>0</v>
      </c>
      <c r="W20" s="31">
        <f>B1*W19</f>
        <v>35.800000000000004</v>
      </c>
      <c r="X20" s="31">
        <f>B11*X19</f>
        <v>0</v>
      </c>
      <c r="Y20" s="31">
        <f>B1*Y19</f>
        <v>14.32</v>
      </c>
      <c r="Z20" s="31"/>
    </row>
    <row r="21" spans="1:26" x14ac:dyDescent="0.25">
      <c r="A21" s="27" t="s">
        <v>65</v>
      </c>
      <c r="B21" s="27">
        <v>50</v>
      </c>
      <c r="C21" s="27">
        <v>20</v>
      </c>
      <c r="D21" s="27">
        <v>240</v>
      </c>
      <c r="E21" s="27">
        <v>60</v>
      </c>
      <c r="F21" s="27">
        <v>40</v>
      </c>
      <c r="G21" s="27">
        <v>60</v>
      </c>
      <c r="H21" s="27">
        <v>30</v>
      </c>
      <c r="I21" s="27">
        <v>60</v>
      </c>
      <c r="J21" s="27">
        <v>55</v>
      </c>
      <c r="K21" s="27">
        <v>60</v>
      </c>
      <c r="L21" s="27">
        <v>270</v>
      </c>
      <c r="M21" s="27">
        <v>80</v>
      </c>
      <c r="N21" s="27">
        <v>500</v>
      </c>
      <c r="O21" s="27">
        <v>500</v>
      </c>
      <c r="P21" s="27">
        <v>80</v>
      </c>
      <c r="Q21" s="27">
        <v>27</v>
      </c>
      <c r="R21" s="27">
        <v>100</v>
      </c>
      <c r="S21" s="27">
        <v>300</v>
      </c>
      <c r="T21" s="27">
        <v>600</v>
      </c>
      <c r="U21" s="27">
        <v>60</v>
      </c>
      <c r="V21" s="27">
        <v>180</v>
      </c>
      <c r="W21" s="27">
        <v>120</v>
      </c>
      <c r="X21" s="27">
        <v>1100</v>
      </c>
      <c r="Y21" s="27">
        <v>60</v>
      </c>
      <c r="Z21" s="27"/>
    </row>
    <row r="22" spans="1:26" ht="15.75" thickBot="1" x14ac:dyDescent="0.3">
      <c r="A22" s="27" t="s">
        <v>66</v>
      </c>
      <c r="B22" s="32">
        <f>B20*B21</f>
        <v>895.00000000000011</v>
      </c>
      <c r="C22" s="32">
        <f t="shared" ref="C22:Y22" si="1">C20*C21</f>
        <v>21.48</v>
      </c>
      <c r="D22" s="32">
        <f t="shared" si="1"/>
        <v>8592.0000000000018</v>
      </c>
      <c r="E22" s="32">
        <f t="shared" si="1"/>
        <v>859.2</v>
      </c>
      <c r="F22" s="32">
        <f t="shared" si="1"/>
        <v>214.8</v>
      </c>
      <c r="G22" s="32">
        <f t="shared" si="1"/>
        <v>429.6</v>
      </c>
      <c r="H22" s="32">
        <f t="shared" si="1"/>
        <v>0</v>
      </c>
      <c r="I22" s="32">
        <f t="shared" si="1"/>
        <v>1074.0000000000002</v>
      </c>
      <c r="J22" s="32">
        <f t="shared" si="1"/>
        <v>0</v>
      </c>
      <c r="K22" s="32">
        <f t="shared" si="1"/>
        <v>0</v>
      </c>
      <c r="L22" s="32">
        <f t="shared" si="1"/>
        <v>773.28</v>
      </c>
      <c r="M22" s="32">
        <f t="shared" si="1"/>
        <v>0</v>
      </c>
      <c r="N22" s="32">
        <f t="shared" si="1"/>
        <v>0</v>
      </c>
      <c r="O22" s="32">
        <f t="shared" si="1"/>
        <v>0</v>
      </c>
      <c r="P22" s="32">
        <f t="shared" si="1"/>
        <v>0</v>
      </c>
      <c r="Q22" s="32">
        <f t="shared" si="1"/>
        <v>0</v>
      </c>
      <c r="R22" s="32">
        <f t="shared" si="1"/>
        <v>179</v>
      </c>
      <c r="S22" s="32">
        <f t="shared" si="1"/>
        <v>1074</v>
      </c>
      <c r="T22" s="32">
        <f t="shared" si="1"/>
        <v>3222</v>
      </c>
      <c r="U22" s="32">
        <f t="shared" si="1"/>
        <v>214.8</v>
      </c>
      <c r="V22" s="32">
        <f t="shared" si="1"/>
        <v>0</v>
      </c>
      <c r="W22" s="32">
        <f t="shared" si="1"/>
        <v>4296.0000000000009</v>
      </c>
      <c r="X22" s="32">
        <f t="shared" si="1"/>
        <v>0</v>
      </c>
      <c r="Y22" s="32">
        <f t="shared" si="1"/>
        <v>859.2</v>
      </c>
      <c r="Z22" s="32"/>
    </row>
    <row r="23" spans="1:26" ht="15.75" thickBot="1" x14ac:dyDescent="0.3">
      <c r="A23" s="22" t="s">
        <v>67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33">
        <f>SUM(B22:X22)/B1</f>
        <v>61.02</v>
      </c>
      <c r="X23" s="34"/>
      <c r="Y23" s="34"/>
      <c r="Z23" s="33"/>
    </row>
    <row r="24" spans="1:26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35"/>
      <c r="X24" s="35"/>
      <c r="Y24" s="23"/>
      <c r="Z24" s="23"/>
    </row>
    <row r="25" spans="1:26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3"/>
      <c r="Z25" s="23"/>
    </row>
  </sheetData>
  <phoneticPr fontId="2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3"/>
  <sheetViews>
    <sheetView zoomScaleSheetLayoutView="130" workbookViewId="0">
      <selection activeCell="J19" sqref="J19"/>
    </sheetView>
  </sheetViews>
  <sheetFormatPr defaultRowHeight="15" x14ac:dyDescent="0.25"/>
  <cols>
    <col min="1" max="1" width="5.5703125" customWidth="1"/>
    <col min="2" max="2" width="9.140625" customWidth="1"/>
    <col min="6" max="6" width="12.140625" customWidth="1"/>
    <col min="9" max="9" width="7.140625" customWidth="1"/>
    <col min="10" max="10" width="11.5703125" customWidth="1"/>
  </cols>
  <sheetData>
    <row r="3" spans="2:14" ht="15.75" x14ac:dyDescent="0.25">
      <c r="B3" s="135" t="s">
        <v>129</v>
      </c>
      <c r="C3" s="135"/>
      <c r="D3" s="81"/>
      <c r="E3" s="81"/>
      <c r="F3" s="81"/>
      <c r="G3" s="64"/>
      <c r="H3" s="64"/>
      <c r="I3" s="64"/>
      <c r="J3" s="81"/>
      <c r="K3" s="81"/>
      <c r="L3" s="136" t="s">
        <v>126</v>
      </c>
      <c r="M3" s="136"/>
      <c r="N3" s="136"/>
    </row>
    <row r="4" spans="2:14" ht="15.75" x14ac:dyDescent="0.25">
      <c r="B4" s="134" t="s">
        <v>130</v>
      </c>
      <c r="C4" s="134"/>
      <c r="D4" s="134"/>
      <c r="E4" s="134"/>
      <c r="F4" s="134"/>
      <c r="G4" s="64"/>
      <c r="H4" s="64"/>
      <c r="I4" s="64"/>
      <c r="J4" s="136" t="s">
        <v>127</v>
      </c>
      <c r="K4" s="136"/>
      <c r="L4" s="136"/>
      <c r="M4" s="136"/>
      <c r="N4" s="136"/>
    </row>
    <row r="5" spans="2:14" ht="15.75" x14ac:dyDescent="0.25">
      <c r="B5" s="135" t="s">
        <v>131</v>
      </c>
      <c r="C5" s="135"/>
      <c r="D5" s="135"/>
      <c r="E5" s="135"/>
      <c r="F5" s="135"/>
      <c r="G5" s="64"/>
      <c r="H5" s="64"/>
      <c r="I5" s="64"/>
      <c r="J5" s="137" t="s">
        <v>133</v>
      </c>
      <c r="K5" s="137"/>
      <c r="L5" s="137"/>
      <c r="M5" s="137"/>
      <c r="N5" s="137"/>
    </row>
    <row r="6" spans="2:14" ht="16.5" thickBot="1" x14ac:dyDescent="0.3">
      <c r="B6" s="81" t="s">
        <v>132</v>
      </c>
      <c r="C6" s="82"/>
      <c r="D6" s="82"/>
      <c r="E6" s="81"/>
      <c r="F6" s="81"/>
      <c r="G6" s="64"/>
      <c r="H6" s="64"/>
      <c r="I6" s="64"/>
      <c r="J6" s="81"/>
      <c r="K6" s="82"/>
      <c r="L6" s="82"/>
      <c r="M6" s="136" t="s">
        <v>128</v>
      </c>
      <c r="N6" s="136"/>
    </row>
    <row r="10" spans="2:14" x14ac:dyDescent="0.25">
      <c r="D10" s="133" t="s">
        <v>111</v>
      </c>
      <c r="E10" s="133"/>
      <c r="F10" s="133"/>
      <c r="G10" s="133"/>
      <c r="H10" s="133"/>
      <c r="I10" s="133"/>
      <c r="J10" s="133"/>
      <c r="K10" s="133"/>
      <c r="L10" s="133"/>
    </row>
    <row r="11" spans="2:14" x14ac:dyDescent="0.25">
      <c r="D11" s="133"/>
      <c r="E11" s="133"/>
      <c r="F11" s="133"/>
      <c r="G11" s="133"/>
      <c r="H11" s="133"/>
      <c r="I11" s="133"/>
      <c r="J11" s="133"/>
      <c r="K11" s="133"/>
      <c r="L11" s="133"/>
    </row>
    <row r="12" spans="2:14" x14ac:dyDescent="0.25">
      <c r="D12" s="133"/>
      <c r="E12" s="133"/>
      <c r="F12" s="133"/>
      <c r="G12" s="133"/>
      <c r="H12" s="133"/>
      <c r="I12" s="133"/>
      <c r="J12" s="133"/>
      <c r="K12" s="133"/>
      <c r="L12" s="133"/>
    </row>
    <row r="13" spans="2:14" x14ac:dyDescent="0.25">
      <c r="D13" s="133"/>
      <c r="E13" s="133"/>
      <c r="F13" s="133"/>
      <c r="G13" s="133"/>
      <c r="H13" s="133"/>
      <c r="I13" s="133"/>
      <c r="J13" s="133"/>
      <c r="K13" s="133"/>
      <c r="L13" s="133"/>
    </row>
  </sheetData>
  <mergeCells count="8">
    <mergeCell ref="D10:L13"/>
    <mergeCell ref="B4:F4"/>
    <mergeCell ref="B5:F5"/>
    <mergeCell ref="B3:C3"/>
    <mergeCell ref="M6:N6"/>
    <mergeCell ref="J5:N5"/>
    <mergeCell ref="L3:N3"/>
    <mergeCell ref="J4:N4"/>
  </mergeCells>
  <phoneticPr fontId="2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меню</vt:lpstr>
      <vt:lpstr>Лист2</vt:lpstr>
      <vt:lpstr>титул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2021-03-22T05:09:45Z</dcterms:modified>
</cp:coreProperties>
</file>